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zzhJq/X5jJMaMuXn2NvBBVLau3AKp2FeqskOwkjZrRmVxYcKzDc1esOezy/xpdi+zGrxVQg/bmOIROlb3JQpdg==" workbookSaltValue="6b/iex09iVQVCJHfPZiB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6" i="13"/>
  <c r="BE15" i="13"/>
  <c r="AX20" i="20"/>
  <c r="BG10" i="8" l="1"/>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G19" i="7"/>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<sst xmlns="http://schemas.openxmlformats.org/spreadsheetml/2006/main" count="2102" uniqueCount="918">
  <si>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</si>
  <si>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</si>
  <si>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</si>
  <si>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</si>
  <si>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</si>
  <si>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</si>
  <si>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</si>
  <si>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</si>
  <si>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</si>
  <si>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</si>
  <si>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</si>
  <si>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</si>
  <si>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</si>
  <si>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</si>
  <si>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</si>
  <si>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</si>
  <si>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</si>
  <si>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</si>
  <si>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</si>
  <si>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</si>
  <si>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</si>
  <si>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</si>
  <si>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</si>
  <si>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</si>
  <si>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</si>
  <si>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</si>
  <si>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</si>
  <si>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</si>
  <si>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</si>
  <si>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</si>
  <si>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</si>
  <si>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</si>
  <si>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</si>
  <si>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</si>
  <si>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</si>
  <si>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</si>
  <si>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</si>
  <si>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</si>
  <si>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</si>
  <si>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</si>
  <si>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</si>
  <si>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</si>
  <si>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</si>
  <si>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</si>
  <si>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</si>
  <si>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</si>
  <si>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</si>
  <si>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</si>
  <si>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</si>
  <si>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</si>
  <si>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</si>
  <si>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</si>
  <si>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</si>
  <si>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</si>
  <si>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</si>
  <si>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</si>
  <si>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</si>
  <si>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</si>
  <si>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</si>
  <si>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</si>
  <si>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</si>
  <si>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</si>
  <si>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</si>
  <si>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</si>
  <si>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</si>
  <si>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</si>
  <si>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</si>
  <si>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</si>
  <si>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</si>
  <si>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</si>
  <si>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</si>
  <si>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</si>
  <si>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</si>
  <si>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</si>
  <si>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</si>
  <si>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</si>
  <si>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</si>
  <si>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</si>
  <si>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</si>
  <si>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</si>
  <si>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</si>
  <si>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</si>
  <si>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</si>
  <si>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</si>
  <si>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</si>
  <si>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</si>
  <si>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</si>
  <si>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</si>
  <si>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</si>
  <si>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</si>
  <si>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</si>
  <si>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</si>
  <si>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</si>
  <si>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</si>
  <si>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</si>
  <si>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</si>
  <si>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</si>
  <si>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</si>
  <si>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</si>
  <si>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</si>
  <si>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</si>
  <si>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</si>
  <si>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</si>
  <si>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</si>
  <si>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</si>
  <si>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</si>
  <si>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</si>
  <si>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</si>
  <si>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</si>
  <si>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</si>
  <si>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</si>
  <si>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</si>
  <si>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</si>
  <si>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</si>
  <si>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</si>
  <si>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</si>
  <si>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</si>
  <si>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</si>
  <si>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</si>
  <si>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</si>
  <si>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</si>
  <si>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</si>
  <si>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</si>
  <si>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</si>
  <si>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</si>
  <si>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</si>
  <si>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</si>
  <si>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</si>
  <si>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</si>
  <si>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</si>
  <si>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</si>
  <si>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</si>
  <si>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</si>
  <si>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</si>
  <si>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</si>
  <si>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</si>
  <si>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</si>
  <si>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</si>
  <si>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</si>
  <si>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</si>
  <si>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</si>
  <si>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</si>
  <si>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</si>
  <si>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</si>
  <si>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</si>
  <si>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</si>
  <si>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</si>
  <si>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</si>
  <si>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</si>
  <si>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</si>
  <si>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</si>
  <si>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</si>
  <si>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</si>
  <si>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</si>
  <si>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</si>
  <si>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</si>
  <si>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</si>
  <si>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</si>
  <si>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</si>
  <si>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</si>
  <si>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</si>
  <si>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</si>
  <si>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</si>
  <si>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</si>
  <si>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</si>
  <si>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</si>
  <si>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</si>
  <si>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</si>
  <si>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</si>
  <si>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</si>
  <si>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</si>
  <si>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</si>
  <si>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</si>
  <si>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</si>
  <si>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</si>
  <si>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</si>
  <si>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</si>
  <si>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</si>
  <si>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</si>
  <si>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</si>
  <si>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</si>
  <si>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</si>
  <si>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</si>
  <si>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</si>
  <si>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</si>
  <si>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</si>
  <si>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</si>
  <si>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</si>
  <si>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</si>
  <si>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</si>
  <si>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</si>
  <si>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</si>
  <si>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</si>
  <si>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</si>
  <si>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</si>
  <si>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</si>
  <si>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</si>
  <si>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</si>
  <si>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</si>
  <si>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</si>
  <si>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</si>
  <si>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</si>
  <si>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</si>
  <si>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</si>
  <si>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</si>
  <si>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</si>
  <si>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</si>
  <si>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</si>
  <si>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</si>
  <si>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</si>
  <si>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</si>
  <si>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</si>
  <si>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</si>
  <si>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</si>
  <si>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</si>
  <si>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</si>
  <si>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</si>
  <si>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</si>
  <si>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</si>
  <si>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</si>
  <si>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</si>
  <si>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</si>
  <si>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</si>
  <si>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</si>
  <si>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</si>
  <si>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</si>
  <si>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</si>
  <si>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</si>
  <si>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</si>
  <si>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</si>
  <si>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</si>
  <si>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</si>
  <si>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</si>
  <si>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</si>
  <si>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</si>
  <si>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</si>
  <si>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</si>
  <si>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</si>
  <si>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</si>
  <si>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</si>
  <si>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</si>
  <si>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</si>
  <si>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</si>
  <si>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</si>
  <si>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</si>
  <si>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</si>
  <si>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</si>
  <si>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</si>
  <si>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</si>
  <si>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</si>
  <si>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</si>
  <si>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</si>
  <si>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</si>
  <si>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</si>
  <si>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</si>
  <si>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</si>
  <si>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</si>
  <si>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</si>
  <si>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</si>
  <si>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</si>
  <si>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</si>
  <si>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</si>
  <si>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</si>
  <si>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</si>
  <si>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</si>
  <si>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</si>
  <si>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</si>
  <si>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</si>
  <si>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</si>
  <si>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</si>
  <si>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</si>
  <si>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</si>
  <si>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</si>
  <si>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</si>
  <si>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</si>
  <si>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</si>
  <si>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</si>
  <si>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</si>
  <si>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</si>
  <si>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</si>
  <si>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</si>
  <si>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</si>
  <si>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</si>
  <si>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</si>
  <si>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</si>
  <si>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</si>
  <si>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</si>
  <si>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</si>
  <si>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</si>
  <si>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</si>
  <si>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</si>
  <si>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</si>
  <si>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</si>
  <si>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</si>
  <si>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</si>
  <si>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</si>
  <si>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</si>
  <si>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</si>
  <si>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</si>
  <si>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</si>
  <si>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</si>
  <si>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</si>
  <si>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</si>
  <si>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</si>
  <si>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</si>
  <si>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</si>
  <si>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</si>
  <si>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</si>
  <si>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</si>
  <si>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</si>
  <si>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</si>
  <si>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</si>
  <si>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</si>
  <si>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</si>
  <si>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</si>
  <si>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</si>
  <si>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</si>
  <si>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</si>
  <si>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</si>
  <si>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</si>
  <si>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</si>
  <si>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</si>
  <si>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</si>
  <si>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</si>
  <si>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</si>
  <si>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</si>
  <si>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</si>
  <si>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</si>
  <si>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</si>
  <si>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</si>
  <si>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</si>
  <si>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</si>
  <si>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</si>
  <si>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</si>
  <si>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</si>
  <si>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</si>
  <si>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</si>
  <si>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</si>
  <si>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</si>
  <si>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</si>
  <si>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</si>
  <si>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</si>
  <si>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</si>
  <si>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</si>
  <si>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</si>
  <si>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</si>
  <si>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</si>
  <si>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</si>
  <si>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</si>
  <si>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</si>
  <si>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</si>
  <si>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</si>
  <si>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</si>
  <si>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</si>
  <si>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</si>
  <si>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</si>
  <si>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</si>
  <si>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</si>
  <si>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</si>
  <si>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</si>
  <si>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</si>
  <si>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</si>
  <si>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</si>
  <si>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</si>
  <si>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</si>
  <si>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</si>
  <si>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</si>
  <si>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</si>
  <si>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</si>
  <si>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</si>
  <si>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</si>
  <si>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</si>
  <si>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</si>
  <si>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</si>
  <si>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</si>
  <si>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</si>
  <si>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</si>
  <si>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</si>
  <si>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</si>
  <si>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</si>
  <si>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</si>
  <si>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</si>
  <si>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</si>
  <si>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</si>
  <si>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</si>
  <si>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</si>
  <si>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</si>
  <si>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</si>
  <si>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</si>
  <si>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</si>
  <si>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</si>
  <si>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</si>
  <si>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</si>
  <si>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</si>
  <si>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</si>
  <si>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</si>
  <si>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</si>
  <si>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</si>
  <si>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</si>
  <si>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</si>
  <si>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</si>
  <si>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</si>
  <si>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</si>
  <si>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</si>
  <si>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</si>
  <si>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</si>
  <si>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</si>
  <si>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</si>
  <si>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</si>
  <si>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</si>
  <si>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</si>
  <si>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</si>
  <si>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</si>
  <si>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</si>
  <si>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</si>
  <si>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</si>
  <si>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</si>
  <si>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</si>
  <si>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</si>
  <si>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</si>
  <si>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</si>
  <si>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</si>
  <si>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</si>
  <si>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</si>
  <si>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</si>
  <si>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</si>
  <si>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</si>
  <si>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</si>
  <si>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</si>
  <si>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</si>
  <si>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</si>
  <si>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</si>
  <si>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</si>
  <si>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</si>
  <si>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</si>
  <si>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</si>
  <si>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</si>
  <si>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</si>
  <si>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</si>
  <si>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</si>
  <si>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</si>
  <si>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</si>
  <si>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</si>
  <si>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</si>
  <si>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</si>
  <si>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</si>
  <si>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</si>
  <si>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</si>
  <si>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</si>
  <si>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</si>
  <si>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</si>
  <si>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</si>
  <si>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</si>
  <si>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</si>
  <si>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</si>
  <si>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</si>
  <si>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</si>
  <si>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</si>
  <si>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</si>
  <si>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</si>
  <si>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</si>
  <si>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</si>
  <si>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</si>
  <si>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</si>
  <si>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</si>
  <si>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</si>
  <si>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</si>
  <si>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</si>
  <si>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</si>
  <si>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</si>
  <si>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</si>
  <si>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</si>
  <si>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</si>
  <si>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</si>
  <si>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</si>
  <si>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</si>
  <si>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</si>
  <si>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</si>
  <si>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</si>
  <si>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</si>
  <si>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</si>
  <si>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</si>
  <si>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</si>
  <si>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</si>
  <si>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</si>
  <si>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</si>
  <si>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</si>
  <si>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</si>
  <si>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</si>
  <si>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</si>
  <si>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</si>
  <si>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</si>
  <si>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</si>
  <si>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</si>
  <si>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</si>
  <si>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</si>
  <si>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</si>
  <si>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</si>
  <si>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</si>
  <si>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</si>
  <si>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</si>
  <si>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</si>
  <si>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</si>
  <si>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</si>
  <si>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</si>
  <si>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</si>
  <si>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</si>
  <si>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</si>
  <si>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</si>
  <si>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</si>
  <si>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</si>
  <si>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</si>
  <si>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</si>
  <si>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</si>
  <si>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</si>
  <si>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</si>
  <si>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</si>
  <si>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</si>
  <si>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</si>
  <si>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</si>
  <si>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</si>
  <si>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</si>
  <si>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</si>
  <si>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</si>
  <si>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</si>
  <si>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</si>
  <si>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</si>
  <si>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</si>
  <si>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</si>
  <si>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</si>
  <si>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</si>
  <si>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</si>
  <si>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</si>
  <si>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</si>
  <si>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</si>
  <si>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</si>
  <si>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</si>
  <si>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</si>
  <si>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</si>
  <si>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</si>
  <si>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</si>
  <si>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</si>
  <si>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</si>
  <si>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</si>
  <si>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</si>
  <si>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</si>
  <si>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</si>
  <si>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</si>
  <si>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</si>
  <si>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</si>
  <si>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</si>
  <si>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</si>
  <si>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</si>
  <si>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</si>
  <si>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</si>
  <si>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</si>
  <si>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</si>
  <si>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</si>
  <si>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</si>
  <si>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</si>
  <si>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</si>
  <si>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</si>
  <si>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</si>
  <si>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</si>
  <si>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</si>
  <si>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</si>
  <si>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</si>
  <si>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</si>
  <si>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</si>
  <si>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</si>
  <si>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</si>
  <si>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</si>
  <si>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</si>
  <si>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</si>
  <si>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</si>
  <si>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</si>
  <si>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</si>
  <si>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</si>
  <si>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</si>
  <si>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</si>
  <si>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</si>
  <si>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</si>
  <si>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</si>
  <si>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</si>
  <si>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</si>
  <si>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</si>
  <si>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</si>
  <si>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</si>
  <si>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</si>
  <si>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</si>
  <si>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</si>
  <si>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</si>
  <si>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</si>
  <si>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</si>
  <si>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</si>
  <si>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</si>
  <si>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</si>
  <si>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</si>
  <si>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</si>
  <si>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</si>
  <si>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</si>
  <si>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</si>
  <si>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</si>
  <si>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</si>
  <si>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</si>
  <si>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</si>
  <si>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</si>
  <si>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</si>
  <si>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</si>
  <si>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</si>
  <si>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</si>
  <si>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</si>
  <si>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</si>
  <si>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</si>
  <si>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</si>
  <si>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</si>
  <si>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</si>
  <si>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</si>
  <si>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</si>
  <si>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</si>
  <si>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</si>
  <si>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</si>
  <si>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</si>
  <si>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</si>
  <si>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</si>
  <si>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</si>
  <si>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</si>
  <si>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</si>
  <si>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</si>
  <si>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</si>
  <si>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</si>
  <si>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</si>
  <si>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</si>
  <si>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</si>
  <si>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</si>
  <si>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</si>
  <si>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</si>
  <si>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</si>
  <si>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</si>
  <si>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</si>
  <si>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</si>
  <si>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</si>
  <si>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</si>
  <si>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</si>
  <si>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</si>
  <si>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</si>
  <si>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</si>
  <si>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</si>
  <si>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</si>
  <si>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</si>
  <si>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</si>
  <si>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</si>
  <si>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</si>
  <si>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</si>
  <si>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</si>
  <si>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</si>
  <si>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</si>
  <si>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</si>
  <si>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</si>
  <si>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</si>
  <si>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</si>
  <si>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</si>
  <si>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</si>
  <si>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</si>
  <si>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</si>
  <si>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</si>
  <si>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</si>
  <si>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</si>
  <si>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</si>
  <si>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</si>
  <si>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</si>
  <si>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</si>
  <si>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</si>
  <si>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</si>
  <si>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</si>
  <si>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</si>
  <si>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</si>
  <si>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</si>
  <si>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</si>
  <si>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</si>
  <si>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</si>
  <si>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</si>
  <si>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</si>
  <si>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</si>
  <si>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</si>
  <si>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</si>
  <si>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</si>
  <si>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</si>
  <si>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</si>
  <si>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</si>
  <si>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</si>
  <si>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</si>
  <si>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</si>
  <si>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</si>
  <si>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</si>
  <si>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</si>
  <si>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</si>
  <si>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</si>
  <si>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</si>
  <si>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</si>
  <si>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</si>
  <si>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</si>
  <si>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</si>
  <si>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</si>
  <si>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</si>
  <si>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</si>
  <si>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</si>
  <si>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</si>
  <si>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</si>
  <si>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</si>
  <si>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</si>
  <si>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</si>
  <si>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</si>
  <si>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</si>
  <si>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</si>
  <si>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</si>
  <si>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</si>
  <si>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</si>
  <si>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</si>
  <si>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</si>
  <si>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</si>
  <si>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</si>
  <si>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</si>
  <si>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</si>
  <si>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</si>
  <si>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</si>
  <si>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</si>
  <si>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</si>
  <si>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</si>
  <si>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</si>
  <si>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</si>
  <si>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</si>
  <si>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</si>
  <si>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</si>
  <si>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</si>
  <si>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</si>
  <si>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</si>
  <si>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</si>
  <si>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</si>
  <si>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</si>
  <si>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</si>
  <si>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</si>
  <si>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</si>
  <si>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</si>
  <si>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</si>
  <si>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</si>
  <si>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</si>
  <si>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</si>
  <si>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</si>
  <si>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</si>
  <si>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</si>
  <si>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</si>
  <si>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</si>
  <si>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</si>
  <si>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</si>
  <si>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</si>
  <si>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</si>
  <si>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</si>
  <si>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</si>
  <si>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</si>
  <si>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</si>
  <si>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</si>
  <si>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</si>
  <si>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</si>
  <si>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</si>
  <si>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</si>
  <si>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</si>
  <si>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</si>
  <si>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</si>
  <si>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</si>
  <si>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</si>
  <si>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</si>
  <si>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</si>
  <si>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</si>
  <si>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</si>
  <si>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</si>
  <si>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</si>
  <si>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</si>
  <si>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</si>
  <si>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</si>
  <si>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</si>
  <si>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</si>
  <si>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</si>
  <si>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</si>
  <si>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</si>
  <si>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</si>
  <si>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</si>
  <si>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</si>
  <si>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</si>
  <si>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</si>
  <si>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</si>
  <si>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</si>
  <si>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</si>
  <si>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</si>
  <si>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</si>
  <si>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</si>
  <si>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</si>
  <si>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</si>
  <si>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</si>
  <si>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</si>
  <si>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</si>
  <si>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</si>
  <si>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</si>
  <si>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</si>
  <si>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</si>
  <si>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</si>
  <si>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</si>
  <si>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</si>
  <si>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</si>
  <si>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</si>
  <si>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</si>
  <si>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</si>
  <si>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</si>
  <si>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</si>
  <si>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</si>
  <si>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</si>
  <si>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</si>
  <si>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</si>
  <si>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</si>
  <si>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</si>
  <si>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</si>
  <si>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</si>
  <si>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</si>
  <si>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</si>
  <si>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</si>
  <si>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</si>
  <si>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</si>
  <si>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</si>
  <si>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</si>
  <si>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</si>
  <si>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</si>
  <si>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</si>
  <si>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</si>
  <si>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</si>
  <si>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</si>
  <si>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</si>
  <si>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</si>
  <si>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</si>
  <si>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</si>
  <si>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</si>
  <si>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</si>
  <si>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</si>
  <si>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</si>
  <si>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</si>
  <si>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</si>
  <si>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</si>
  <si>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</si>
  <si>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</si>
  <si>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</si>
  <si>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</si>
  <si>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</si>
  <si>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</si>
  <si>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</si>
  <si>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</si>
  <si>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</si>
  <si>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</si>
  <si>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</si>
  <si>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</si>
  <si>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</si>
  <si>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</si>
  <si>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</si>
  <si>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</si>
  <si>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</si>
  <si>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</si>
  <si>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</si>
  <si>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</si>
  <si>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</si>
  <si>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</si>
  <si>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</si>
  <si>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</si>
  <si>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</si>
  <si>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</si>
  <si>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</si>
  <si>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</si>
  <si>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</si>
  <si>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</si>
  <si>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</si>
  <si>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</si>
  <si>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</si>
  <si>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</si>
  <si>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</si>
  <si>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</si>
  <si>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</si>
  <si>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</si>
  <si>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</si>
  <si>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</si>
  <si>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</si>
  <si>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</si>
  <si>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</si>
  <si>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</si>
  <si>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</si>
  <si>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</si>
  <si>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</si>
  <si>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</si>
  <si>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</si>
  <si>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</si>
  <si>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</si>
  <si>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</si>
  <si>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</si>
  <si>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</si>
  <si>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</si>
  <si>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</si>
  <si>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</si>
  <si>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</si>
  <si>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</si>
  <si>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</si>
  <si>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</si>
  <si>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</si>
  <si>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</si>
  <si>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</si>
  <si>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</si>
  <si>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</si>
  <si>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</si>
  <si>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</si>
  <si>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</si>
  <si>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</si>
  <si>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</si>
  <si>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MARBELLA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</si>
</sst>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vrt56RwoLIy4rTquPZhstKp6KRHo/XD0U0SHgrmwADbgoiESoDkfxBUKpz9/DSHxGPtnVcLdzZinSe5DNR1pw==" saltValue="ckQzDaowXnA9sT1jC92k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MARBELLA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10383</v>
      </c>
      <c r="D9" s="404">
        <f>IF(ISNUMBER(C9/Datos!BH9),C9/Datos!BH9," - ")</f>
        <v>1297.875</v>
      </c>
      <c r="E9" s="403">
        <f>IF(ISNUMBER(IF(J_V="SI",Datos!J9,Datos!J9+Datos!Z9)),IF(J_V="SI",Datos!J9,Datos!J9+Datos!Z9)," - ")</f>
        <v>13470</v>
      </c>
      <c r="F9" s="404">
        <f>IF(ISNUMBER(E9/B9),E9/B9," - ")</f>
        <v>1683.75</v>
      </c>
      <c r="G9" s="403">
        <f>IF(ISNUMBER(IF(J_V="SI",Datos!K9,Datos!K9+Datos!AA9)),IF(J_V="SI",Datos!K9,Datos!K9+Datos!AA9)," - ")</f>
        <v>11335</v>
      </c>
      <c r="H9" s="404">
        <f>IF(ISNUMBER(G9/B9),G9/B9," - ")</f>
        <v>1416.875</v>
      </c>
      <c r="I9" s="403">
        <f>IF(ISNUMBER(IF(J_V="SI",Datos!L9,Datos!L9+Datos!AB9)),IF(J_V="SI",Datos!L9,Datos!L9+Datos!AB9)," - ")</f>
        <v>12567</v>
      </c>
      <c r="J9" s="404">
        <f>IF(ISNUMBER(I9/B9),I9/B9," - ")</f>
        <v>1570.875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80</v>
      </c>
      <c r="D10" s="404">
        <f>IF(ISNUMBER(C10/Datos!BH10),C10/Datos!BH10," - ")</f>
        <v>80</v>
      </c>
      <c r="E10" s="403">
        <f>IF(ISNUMBER(Datos!J10),Datos!J10," - ")</f>
        <v>158</v>
      </c>
      <c r="F10" s="404">
        <f>IF(ISNUMBER(E10/B10),E10/B10," - ")</f>
        <v>158</v>
      </c>
      <c r="G10" s="403">
        <f>IF(ISNUMBER(Datos!K10),Datos!K10," - ")</f>
        <v>163</v>
      </c>
      <c r="H10" s="404">
        <f>IF(ISNUMBER(G10/B10),G10/B10," - ")</f>
        <v>163</v>
      </c>
      <c r="I10" s="403">
        <f>IF(ISNUMBER(Datos!L10),Datos!L10," - ")</f>
        <v>98</v>
      </c>
      <c r="J10" s="404">
        <f>IF(ISNUMBER(I10/B10),I10/B10," - ")</f>
        <v>98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10463</v>
      </c>
      <c r="D13" s="850" t="str">
        <f>IF(ISNUMBER(C13/Datos!BI13),C13/Datos!BI13," - ")</f>
        <v xml:space="preserve"> - </v>
      </c>
      <c r="E13" s="849">
        <f>SUBTOTAL(9,E8:E12)</f>
        <v>13628</v>
      </c>
      <c r="F13" s="850">
        <f>IF(ISNUMBER(E13/B13),E13/B13," - ")</f>
        <v>1514.2222222222222</v>
      </c>
      <c r="G13" s="849">
        <f>SUBTOTAL(9,G8:G12)</f>
        <v>11498</v>
      </c>
      <c r="H13" s="850">
        <f>IF(ISNUMBER(G13/B13),G13/B13," - ")</f>
        <v>1277.5555555555557</v>
      </c>
      <c r="I13" s="849">
        <f>SUBTOTAL(9,I8:I12)</f>
        <v>12665</v>
      </c>
      <c r="J13" s="850">
        <f>IF(ISNUMBER(I13/B13),I13/B13," - ")</f>
        <v>1407.2222222222222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3837</v>
      </c>
      <c r="D15" s="404">
        <f>IF(ISNUMBER(C15/Datos!BH15),C15/Datos!BH15," - ")</f>
        <v>767.4</v>
      </c>
      <c r="E15" s="403">
        <f>IF(ISNUMBER(IF(D_I="SI",Datos!J15,Datos!J15+Datos!AD15)),IF(D_I="SI",Datos!J15,Datos!J15+Datos!AD15)," - ")</f>
        <v>17827</v>
      </c>
      <c r="F15" s="404">
        <f>IF(ISNUMBER(E15/B15),E15/B15," - ")</f>
        <v>3565.4</v>
      </c>
      <c r="G15" s="403">
        <f>IF(ISNUMBER(IF(D_I="SI",Datos!K15,Datos!K15+Datos!AE15)),IF(D_I="SI",Datos!K15,Datos!K15+Datos!AE15)," - ")</f>
        <v>17779</v>
      </c>
      <c r="H15" s="404">
        <f>IF(ISNUMBER(G15/B15),G15/B15," - ")</f>
        <v>3555.8</v>
      </c>
      <c r="I15" s="403">
        <f>IF(ISNUMBER(IF(D_I="SI",Datos!L15,Datos!L15+Datos!AF15)),IF(D_I="SI",Datos!L15,Datos!L15+Datos!AF15)," - ")</f>
        <v>4034</v>
      </c>
      <c r="J15" s="404">
        <f>IF(ISNUMBER(I15/B15),I15/B15," - ")</f>
        <v>806.8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2357</v>
      </c>
      <c r="F17" s="404">
        <f>IF(ISNUMBER(E17/B17),E17/B17," - ")</f>
        <v>2357</v>
      </c>
      <c r="G17" s="403">
        <f>IF(ISNUMBER(IF(D_I="SI",Datos!K17,Datos!K17+Datos!AE17)),IF(D_I="SI",Datos!K17,Datos!K17+Datos!AE17)," - ")</f>
        <v>1659</v>
      </c>
      <c r="H17" s="404">
        <f>IF(ISNUMBER(G17/B17),G17/B17," - ")</f>
        <v>1659</v>
      </c>
      <c r="I17" s="403">
        <f>IF(ISNUMBER(IF(D_I="SI",Datos!L17,Datos!L17+Datos!AF17)),IF(D_I="SI",Datos!L17,Datos!L17+Datos!AF17)," - ")</f>
        <v>579</v>
      </c>
      <c r="J17" s="404">
        <f>IF(ISNUMBER(I17/B17),I17/B17," - ")</f>
        <v>579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3988</v>
      </c>
      <c r="D18" s="850" t="str">
        <f>IF(ISNUMBER(C18/Datos!BI18),C18/Datos!BI18," - ")</f>
        <v xml:space="preserve"> - </v>
      </c>
      <c r="E18" s="849">
        <f>SUBTOTAL(9,E14:E17)</f>
        <v>20184</v>
      </c>
      <c r="F18" s="850">
        <f>IF(ISNUMBER(E18/B18),E18/B18," - ")</f>
        <v>3364</v>
      </c>
      <c r="G18" s="849">
        <f>SUBTOTAL(9,G14:G17)</f>
        <v>19438</v>
      </c>
      <c r="H18" s="850">
        <f>IF(ISNUMBER(G18/B18),G18/B18," - ")</f>
        <v>3239.6666666666665</v>
      </c>
      <c r="I18" s="849">
        <f>SUBTOTAL(9,I14:I17)</f>
        <v>4613</v>
      </c>
      <c r="J18" s="850">
        <f>IF(ISNUMBER(I18/B18),I18/B18," - ")</f>
        <v>768.83333333333337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14451</v>
      </c>
      <c r="D19" s="795" t="str">
        <f>IF(ISNUMBER(C19/Datos!BI19),C19/Datos!BI19," - ")</f>
        <v xml:space="preserve"> - </v>
      </c>
      <c r="E19" s="794">
        <f>SUBTOTAL(9,E9:E18)</f>
        <v>33812</v>
      </c>
      <c r="F19" s="795">
        <f>IF(ISNUMBER(E19/B19),E19/B19," - ")</f>
        <v>2415.1428571428573</v>
      </c>
      <c r="G19" s="794">
        <f>SUBTOTAL(9,G9:G18)</f>
        <v>30936</v>
      </c>
      <c r="H19" s="795">
        <f>IF(ISNUMBER(G19/B19),G19/B19," - ")</f>
        <v>2209.7142857142858</v>
      </c>
      <c r="I19" s="794">
        <f>SUBTOTAL(9,I9:I18)</f>
        <v>17278</v>
      </c>
      <c r="J19" s="795">
        <f>IF(ISNUMBER(I19/B19),I19/B19," - ")</f>
        <v>1234.1428571428571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wNUPljy0gcK4eiRzS4L+ngbO452roi9Vw2+SG7wKYOLvdt33VWB2iBOVba4E3xFEIJbPfdGfRdvyKL+qut00w==" saltValue="2v1tCo+ciPdv+srj8Ja0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MARBELLA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U8Lx4yf/XqNH/ZGyQChYKdgK9L3TKaXeJGyiI9J3oJOaM9x9ld6eM/7C71wyrNHlYRwOd/f8im0fusYxiVTYA==" saltValue="5+OO549ix/OVNIgopaD4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MARBELLA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2514</v>
      </c>
      <c r="E9" s="404">
        <f t="shared" ref="E9:E13" si="0">IF(ISNUMBER(D9/B9),D9/B9," - ")</f>
        <v>314.25</v>
      </c>
      <c r="F9" s="403">
        <f>IF(ISNUMBER(Datos!N9),Datos!N9," - ")</f>
        <v>4362</v>
      </c>
      <c r="G9" s="404">
        <f t="shared" ref="G9:G13" si="1">IF(ISNUMBER(F9/B9),F9/B9," - ")</f>
        <v>545.25</v>
      </c>
      <c r="H9" s="403">
        <f>IF(ISNUMBER(Datos!O9),Datos!O9," - ")</f>
        <v>5679</v>
      </c>
      <c r="I9" s="404">
        <f>IF(ISNUMBER(H9/B9),H9/B9," - ")</f>
        <v>709.875</v>
      </c>
      <c r="BZ9" s="1186">
        <f>Datos!EZ9</f>
        <v>0</v>
      </c>
    </row>
    <row r="10" spans="1:78">
      <c r="A10" s="402" t="str">
        <f>Datos!A10</f>
        <v>Jdos. Violencia contra la mujer</v>
      </c>
      <c r="B10" s="427">
        <f>Datos!AO10</f>
        <v>1</v>
      </c>
      <c r="C10" s="410">
        <f>Datos!AQ10</f>
        <v>1</v>
      </c>
      <c r="D10" s="403">
        <f>IF(ISNUMBER(Datos!M10),Datos!M10," - ")</f>
        <v>48</v>
      </c>
      <c r="E10" s="404">
        <f>IF(ISNUMBER(D10/B10),D10/B10," - ")</f>
        <v>48</v>
      </c>
      <c r="F10" s="403">
        <f>IF(ISNUMBER(Datos!N10),Datos!N10," - ")</f>
        <v>57</v>
      </c>
      <c r="G10" s="404">
        <f>IF(ISNUMBER(F10/B10),F10/B10," - ")</f>
        <v>57</v>
      </c>
      <c r="H10" s="403">
        <f>IF(ISNUMBER(Datos!O10),Datos!O10," - ")</f>
        <v>42</v>
      </c>
      <c r="I10" s="404">
        <f t="shared" ref="I10:I12" si="2">IF(ISNUMBER(H10/B10),H10/B10," - ")</f>
        <v>42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2562</v>
      </c>
      <c r="E13" s="850">
        <f t="shared" si="0"/>
        <v>284.66666666666669</v>
      </c>
      <c r="F13" s="849">
        <f>SUBTOTAL(9,F9:F12)</f>
        <v>4419</v>
      </c>
      <c r="G13" s="850">
        <f t="shared" si="1"/>
        <v>491</v>
      </c>
      <c r="H13" s="849">
        <f>SUBTOTAL(9,H9:H12)</f>
        <v>5721</v>
      </c>
      <c r="I13" s="850">
        <f>IF(ISNUMBER(H13/B13),H13/B13," - ")</f>
        <v>635.66666666666663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1592</v>
      </c>
      <c r="E15" s="404">
        <f t="shared" ref="E15:E18" si="3">IF(ISNUMBER(D15/B15),D15/B15," - ")</f>
        <v>318.39999999999998</v>
      </c>
      <c r="F15" s="403">
        <f>IF(ISNUMBER(Datos!N15),Datos!N15," - ")</f>
        <v>12504</v>
      </c>
      <c r="G15" s="404">
        <f t="shared" ref="G15:G18" si="4">IF(ISNUMBER(F15/B15),F15/B15," - ")</f>
        <v>2500.8000000000002</v>
      </c>
      <c r="H15" s="403">
        <f>IF(ISNUMBER(Datos!O15),Datos!O15," - ")</f>
        <v>268</v>
      </c>
      <c r="I15" s="404">
        <f t="shared" ref="I15:I17" si="5">IF(ISNUMBER(H15/B15),H15/B15," - ")</f>
        <v>53.6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162</v>
      </c>
      <c r="E17" s="404">
        <f>IF(ISNUMBER(D17/B17),D17/B17," - ")</f>
        <v>162</v>
      </c>
      <c r="F17" s="403">
        <f>IF(ISNUMBER(Datos!N17),Datos!N17," - ")</f>
        <v>884</v>
      </c>
      <c r="G17" s="404">
        <f>IF(ISNUMBER(F17/B17),F17/B17," - ")</f>
        <v>884</v>
      </c>
      <c r="H17" s="403">
        <f>IF(ISNUMBER(Datos!O17),Datos!O17," - ")</f>
        <v>4</v>
      </c>
      <c r="I17" s="404">
        <f t="shared" si="5"/>
        <v>4</v>
      </c>
      <c r="BZ17" s="1186">
        <f>Datos!EZ17</f>
        <v>0</v>
      </c>
    </row>
    <row r="18" spans="1:78" ht="14.25" thickTop="1" thickBot="1">
      <c r="A18" s="848" t="str">
        <f>Datos!A18</f>
        <v>TOTAL</v>
      </c>
      <c r="B18" s="849">
        <f>Datos!AP18</f>
        <v>6</v>
      </c>
      <c r="C18" s="851">
        <f>Datos!AR18</f>
        <v>6</v>
      </c>
      <c r="D18" s="849">
        <f>SUBTOTAL(9,D15:D17)</f>
        <v>1754</v>
      </c>
      <c r="E18" s="850">
        <f t="shared" si="3"/>
        <v>292.33333333333331</v>
      </c>
      <c r="F18" s="849">
        <f>SUBTOTAL(9,F15:F17)</f>
        <v>13388</v>
      </c>
      <c r="G18" s="850">
        <f t="shared" si="4"/>
        <v>2231.3333333333335</v>
      </c>
      <c r="H18" s="849">
        <f>SUBTOTAL(9,H15:H17)</f>
        <v>272</v>
      </c>
      <c r="I18" s="850">
        <f>IF(ISNUMBER(H18/B18),H18/B18," - ")</f>
        <v>45.333333333333336</v>
      </c>
      <c r="BZ18" s="1186"/>
    </row>
    <row r="19" spans="1:78" ht="14.25" thickTop="1" thickBot="1">
      <c r="A19" s="793" t="str">
        <f>Datos!A19</f>
        <v>TOTAL JURISDICCIONES</v>
      </c>
      <c r="B19" s="794">
        <f>Datos!AP19</f>
        <v>14</v>
      </c>
      <c r="C19" s="794">
        <f>Datos!AR19</f>
        <v>14</v>
      </c>
      <c r="D19" s="794">
        <f>SUBTOTAL(9,D8:D18)</f>
        <v>4316</v>
      </c>
      <c r="E19" s="795">
        <f>IF(ISNUMBER(D19/B19),D19/B19," - ")</f>
        <v>308.28571428571428</v>
      </c>
      <c r="F19" s="794">
        <f>SUBTOTAL(9,F8:F18)</f>
        <v>17807</v>
      </c>
      <c r="G19" s="795">
        <f>IF(ISNUMBER(F19/B19),F19/B19," - ")</f>
        <v>1271.9285714285713</v>
      </c>
      <c r="H19" s="794">
        <f>SUBTOTAL(9,H8:H18)</f>
        <v>5993</v>
      </c>
      <c r="I19" s="795">
        <f>IF(ISNUMBER(H19/B19),H19/B19," - ")</f>
        <v>428.07142857142856</v>
      </c>
    </row>
    <row r="22" spans="1:78">
      <c r="A22" s="391" t="str">
        <f>Criterios!A4</f>
        <v>Fecha Informe: 28 feb. 2025</v>
      </c>
    </row>
    <row r="27" spans="1:78">
      <c r="A27" s="414"/>
    </row>
  </sheetData>
  <sheetProtection algorithmName="SHA-512" hashValue="Isg2Me/vwsz0+M4Qw+oW9gVDHYUzrtll2OhT0uVIWjXgaQ9/xGhn/YKCmJmRmHKiTDVF/YwP07FB8m2gzTgUSA==" saltValue="YWHRbF4nJ4rK+8dMfvNt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MARBELLA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2828</v>
      </c>
      <c r="C9" s="434">
        <f>IF(ISNUMBER(Datos!Q9),Datos!Q9," - ")</f>
        <v>2775</v>
      </c>
      <c r="D9" s="408">
        <f>IF(ISNUMBER(Datos!R9),Datos!R9," - ")</f>
        <v>10469</v>
      </c>
    </row>
    <row r="10" spans="1:4">
      <c r="A10" s="402" t="str">
        <f>Datos!A10</f>
        <v>Jdos. Violencia contra la mujer</v>
      </c>
      <c r="B10" s="433">
        <f>IF(ISNUMBER(Datos!P10),Datos!P10," - ")</f>
        <v>39</v>
      </c>
      <c r="C10" s="434">
        <f>IF(ISNUMBER(Datos!Q10),Datos!Q10," - ")</f>
        <v>129</v>
      </c>
      <c r="D10" s="408">
        <f>IF(ISNUMBER(Datos!R10),Datos!R10," - ")</f>
        <v>49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2867</v>
      </c>
      <c r="C13" s="853">
        <f>SUBTOTAL(9,C9:C12)</f>
        <v>2904</v>
      </c>
      <c r="D13" s="851">
        <f>SUBTOTAL(9,D9:D12)</f>
        <v>10518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397</v>
      </c>
      <c r="C15" s="434">
        <f>IF(ISNUMBER(Datos!Q15),Datos!Q15," - ")</f>
        <v>390</v>
      </c>
      <c r="D15" s="408">
        <f>IF(ISNUMBER(Datos!R15),Datos!R15," - ")</f>
        <v>348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80</v>
      </c>
      <c r="C17" s="434">
        <f>IF(ISNUMBER(Datos!Q17),Datos!Q17," - ")</f>
        <v>28</v>
      </c>
      <c r="D17" s="408">
        <f>IF(ISNUMBER(Datos!R17),Datos!R17," - ")</f>
        <v>55</v>
      </c>
    </row>
    <row r="18" spans="1:4" ht="14.25" thickTop="1" thickBot="1">
      <c r="A18" s="848" t="str">
        <f>Datos!A18</f>
        <v>TOTAL</v>
      </c>
      <c r="B18" s="849">
        <f>SUBTOTAL(9,B15:B17)</f>
        <v>477</v>
      </c>
      <c r="C18" s="853">
        <f>SUBTOTAL(9,C15:C17)</f>
        <v>418</v>
      </c>
      <c r="D18" s="851">
        <f>SUBTOTAL(9,D15:D17)</f>
        <v>403</v>
      </c>
    </row>
    <row r="19" spans="1:4" ht="16.5" customHeight="1" thickTop="1" thickBot="1">
      <c r="A19" s="793" t="str">
        <f>Datos!A19</f>
        <v>TOTAL JURISDICCIONES</v>
      </c>
      <c r="B19" s="798">
        <f>SUBTOTAL(9,B8:B18)</f>
        <v>3344</v>
      </c>
      <c r="C19" s="799">
        <f>SUBTOTAL(9,C8:C18)</f>
        <v>3322</v>
      </c>
      <c r="D19" s="800">
        <f>SUBTOTAL(9,D8:D18)</f>
        <v>10921</v>
      </c>
    </row>
    <row r="20" spans="1:4" ht="7.5" customHeight="1"/>
    <row r="21" spans="1:4" ht="6" customHeight="1"/>
    <row r="22" spans="1:4">
      <c r="A22" s="391" t="str">
        <f>Criterios!A4</f>
        <v>Fecha Informe: 28 feb. 2025</v>
      </c>
    </row>
    <row r="27" spans="1:4">
      <c r="A27" s="414"/>
    </row>
  </sheetData>
  <sheetProtection algorithmName="SHA-512" hashValue="2t+cNynbEgufJqMicPnvxMwvHpolDlyq/2bp2l6ZjVHOtl4mvf6x9DIko2DYaKQZhCjP5+ghBnfrKsWTY2kYbQ==" saltValue="Hdvw8kaXNJfrAISE1b00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MARBELLA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0.21325075952325309</v>
      </c>
      <c r="C9" s="456">
        <f>IF(ISNUMBER(
   IF(J_V="SI",(Datos!J9-Datos!T9)/Datos!T9,(Datos!J9+Datos!Z9-(Datos!T9+Datos!AH9))/(Datos!T9+Datos!AH9))
     ),IF(J_V="SI",(Datos!J9-Datos!T9)/Datos!T9,(Datos!J9+Datos!Z9-(Datos!T9+Datos!AH9))/(Datos!T9+Datos!AH9))," - ")</f>
        <v>0.23566645261902577</v>
      </c>
      <c r="D9" s="456">
        <f>IF(ISNUMBER(
   IF(J_V="SI",(Datos!K9-Datos!U9)/Datos!U9,(Datos!K9+Datos!AA9-(Datos!U9+Datos!AI9))/(Datos!U9+Datos!AI9))
     ),IF(J_V="SI",(Datos!K9-Datos!U9)/Datos!U9,(Datos!K9+Datos!AA9-(Datos!U9+Datos!AI9))/(Datos!U9+Datos!AI9))," - ")</f>
        <v>0.24246410172092514</v>
      </c>
      <c r="E9" s="456">
        <f>IF(ISNUMBER(
   IF(J_V="SI",(Datos!L9-Datos!V9)/Datos!V9,(Datos!L9+Datos!AB9-(Datos!V9+Datos!AJ9))/(Datos!V9+Datos!AJ9))
     ),IF(J_V="SI",(Datos!L9-Datos!V9)/Datos!V9,(Datos!L9+Datos!AB9-(Datos!V9+Datos!AJ9))/(Datos!V9+Datos!AJ9))," - ")</f>
        <v>0.21034383126264086</v>
      </c>
      <c r="F9" s="456">
        <f>IF(ISNUMBER((Datos!M9-Datos!W9)/Datos!W9),(Datos!M9-Datos!W9)/Datos!W9," - ")</f>
        <v>0.2451708766716196</v>
      </c>
      <c r="G9" s="457">
        <f>IF(ISNUMBER((Datos!N9-Datos!X9)/Datos!X9),(Datos!N9-Datos!X9)/Datos!X9," - ")</f>
        <v>0.36057392389270121</v>
      </c>
      <c r="H9" s="455">
        <f>IF(ISNUMBER(((NºAsuntos!G9/NºAsuntos!E9)-Datos!BD9)/Datos!BD9),((NºAsuntos!G9/NºAsuntos!E9)-Datos!BD9)/Datos!BD9," - ")</f>
        <v>5.501200657743472E-3</v>
      </c>
      <c r="I9" s="456">
        <f>IF(ISNUMBER(((NºAsuntos!I9/NºAsuntos!G9)-Datos!BE9)/Datos!BE9),((NºAsuntos!I9/NºAsuntos!G9)-Datos!BE9)/Datos!BE9," - ")</f>
        <v>-2.5852071229901082E-2</v>
      </c>
      <c r="J9" s="461">
        <f>IF(ISNUMBER((('Resol  Asuntos'!D9/NºAsuntos!G9)-Datos!BF9)/Datos!BF9),(('Resol  Asuntos'!D9/NºAsuntos!G9)-Datos!BF9)/Datos!BF9," - ")</f>
        <v>-0.3688713349280861</v>
      </c>
      <c r="K9" s="462">
        <f>IF(ISNUMBER((((NºAsuntos!C9+NºAsuntos!E9)/NºAsuntos!G9)-Datos!BG9)/Datos!BG9),(((NºAsuntos!C9+NºAsuntos!E9)/NºAsuntos!G9)-Datos!BG9)/Datos!BG9," - ")</f>
        <v>-1.3405612556304309E-2</v>
      </c>
    </row>
    <row r="10" spans="1:11">
      <c r="A10" s="402" t="str">
        <f>Datos!A10</f>
        <v>Jdos. Violencia contra la mujer</v>
      </c>
      <c r="B10" s="455">
        <f>IF(ISNUMBER((Datos!I10-Datos!S10)/Datos!S10),(Datos!I10-Datos!S10)/Datos!S10," - ")</f>
        <v>-0.1111111111111111</v>
      </c>
      <c r="C10" s="456">
        <f>IF(ISNUMBER((Datos!J10-Datos!T10)/Datos!T10),(Datos!J10-Datos!T10)/Datos!T10," - ")</f>
        <v>0.234375</v>
      </c>
      <c r="D10" s="456">
        <f>IF(ISNUMBER((Datos!K10-Datos!U10)/Datos!U10),(Datos!K10-Datos!U10)/Datos!U10," - ")</f>
        <v>0.36974789915966388</v>
      </c>
      <c r="E10" s="456">
        <f>IF(ISNUMBER((Datos!L10-Datos!V10)/Datos!V10),(Datos!L10-Datos!V10)/Datos!V10," - ")</f>
        <v>0.22500000000000001</v>
      </c>
      <c r="F10" s="456">
        <f>IF(ISNUMBER((Datos!M10-Datos!W10)/Datos!W10),(Datos!M10-Datos!W10)/Datos!W10," - ")</f>
        <v>0.33333333333333331</v>
      </c>
      <c r="G10" s="457">
        <f>IF(ISNUMBER((Datos!N10-Datos!X10)/Datos!X10),(Datos!N10-Datos!X10)/Datos!X10," - ")</f>
        <v>-0.109375</v>
      </c>
      <c r="H10" s="455">
        <f>IF(ISNUMBER(((NºAsuntos!G10/NºAsuntos!E10)-Datos!BD10)/Datos!BD10),((NºAsuntos!G10/NºAsuntos!E10)-Datos!BD10)/Datos!BD10," - ")</f>
        <v>0.10966918412934788</v>
      </c>
      <c r="I10" s="456">
        <f>IF(ISNUMBER(((NºAsuntos!I10/NºAsuntos!G10)-Datos!BE10)/Datos!BE10),((NºAsuntos!I10/NºAsuntos!G10)-Datos!BE10)/Datos!BE10," - ")</f>
        <v>-0.10567484662576698</v>
      </c>
      <c r="J10" s="461">
        <f>IF(ISNUMBER((('Resol  Asuntos'!D10/NºAsuntos!G10)-Datos!BF10)/Datos!BF10),(('Resol  Asuntos'!D10/NºAsuntos!G10)-Datos!BF10)/Datos!BF10," - ")</f>
        <v>-2.658486707566449E-2</v>
      </c>
      <c r="K10" s="462">
        <f>IF(ISNUMBER((((NºAsuntos!C10+NºAsuntos!E10)/NºAsuntos!G10)-Datos!BG10)/Datos!BG10),(((NºAsuntos!C10+NºAsuntos!E10)/NºAsuntos!G10)-Datos!BG10)/Datos!BG10," - ")</f>
        <v>-0.20296054483030335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0.20987511563367253</v>
      </c>
      <c r="C13" s="855">
        <f>IF(ISNUMBER(
   IF(J_V="SI",(Datos!J13-Datos!T13)/Datos!T13,(Datos!J13+Datos!Z13-(Datos!T13+Datos!AH13))/(Datos!T13+Datos!AH13))
     ),IF(J_V="SI",(Datos!J13-Datos!T13)/Datos!T13,(Datos!J13+Datos!Z13-(Datos!T13+Datos!AH13))/(Datos!T13+Datos!AH13))," - ")</f>
        <v>0.23565146432133466</v>
      </c>
      <c r="D13" s="855">
        <f>IF(ISNUMBER(
   IF(J_V="SI",(Datos!K13-Datos!U13)/Datos!U13,(Datos!K13+Datos!AA13-(Datos!U13+Datos!AI13))/(Datos!U13+Datos!AI13))
     ),IF(J_V="SI",(Datos!K13-Datos!U13)/Datos!U13,(Datos!K13+Datos!AA13-(Datos!U13+Datos!AI13))/(Datos!U13+Datos!AI13))," - ")</f>
        <v>0.24410300800692492</v>
      </c>
      <c r="E13" s="855">
        <f>IF(ISNUMBER(
   IF(J_V="SI",(Datos!L13-Datos!V13)/Datos!V13,(Datos!L13+Datos!AB13-(Datos!V13+Datos!AJ13))/(Datos!V13+Datos!AJ13))
     ),IF(J_V="SI",(Datos!L13-Datos!V13)/Datos!V13,(Datos!L13+Datos!AB13-(Datos!V13+Datos!AJ13))/(Datos!V13+Datos!AJ13))," - ")</f>
        <v>0.21045589219153207</v>
      </c>
      <c r="F13" s="856">
        <f>IF(ISNUMBER((Datos!M13-Datos!W13)/Datos!W13),(Datos!M13-Datos!W13)/Datos!W13," - ")</f>
        <v>0.24671532846715327</v>
      </c>
      <c r="G13" s="857">
        <f>IF(ISNUMBER((Datos!N13-Datos!X13)/Datos!X13),(Datos!N13-Datos!X13)/Datos!X13," - ")</f>
        <v>0.35137614678899082</v>
      </c>
      <c r="H13" s="857">
        <f>IF(ISNUMBER(((NºAsuntos!G13/NºAsuntos!E13)-Datos!BD13)/Datos!BD13),((NºAsuntos!G13/NºAsuntos!E13)-Datos!BD13)/Datos!BD13," - ")</f>
        <v>6.8397472342512262E-3</v>
      </c>
      <c r="I13" s="857">
        <f>IF(ISNUMBER(((NºAsuntos!I13/NºAsuntos!G13)-Datos!BE13)/Datos!BE13),((NºAsuntos!I13/NºAsuntos!G13)-Datos!BE13)/Datos!BE13," - ")</f>
        <v>-2.7045281298126611E-2</v>
      </c>
      <c r="J13" s="857">
        <f>IF(ISNUMBER((('Resol  Asuntos'!D13/NºAsuntos!G13)-Datos!BF13)/Datos!BF13),(('Resol  Asuntos'!D13/NºAsuntos!G13)-Datos!BF13)/Datos!BF13," - ")</f>
        <v>-0.36480104524789814</v>
      </c>
      <c r="K13" s="857">
        <f>IF(ISNUMBER((((NºAsuntos!C13+NºAsuntos!E13)/NºAsuntos!G13)-Datos!BG13)/Datos!BG13),(((NºAsuntos!C13+NºAsuntos!E13)/NºAsuntos!G13)-Datos!BG13)/Datos!BG13," - ")</f>
        <v>-1.5899161438091412E-2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0.25228459530026109</v>
      </c>
      <c r="C15" s="456">
        <f>IF(ISNUMBER(
   IF(D_I="SI",(Datos!J15-Datos!T15)/Datos!T15,(Datos!J15+Datos!AD15-(Datos!T15+Datos!AL15))/(Datos!T15+Datos!AL15))
     ),IF(D_I="SI",(Datos!J15-Datos!T15)/Datos!T15,(Datos!J15+Datos!AD15-(Datos!T15+Datos!AL15))/(Datos!T15+Datos!AL15))," - ")</f>
        <v>-1.9309054901529323E-2</v>
      </c>
      <c r="D15" s="456">
        <f>IF(ISNUMBER(
   IF(D_I="SI",(Datos!K15-Datos!U15)/Datos!U15,(Datos!K15+Datos!AE15-(Datos!U15+Datos!AM15))/(Datos!U15+Datos!AM15))
     ),IF(D_I="SI",(Datos!K15-Datos!U15)/Datos!U15,(Datos!K15+Datos!AE15-(Datos!U15+Datos!AM15))/(Datos!U15+Datos!AM15))," - ")</f>
        <v>1.6698118602390347E-2</v>
      </c>
      <c r="E15" s="456">
        <f>IF(ISNUMBER(
   IF(D_I="SI",(Datos!L15-Datos!V15)/Datos!V15,(Datos!L15+Datos!AF15-(Datos!V15+Datos!AN15))/(Datos!V15+Datos!AN15))
     ),IF(D_I="SI",(Datos!L15-Datos!V15)/Datos!V15,(Datos!L15+Datos!AF15-(Datos!V15+Datos!AN15))/(Datos!V15+Datos!AN15))," - ")</f>
        <v>5.1342194422726091E-2</v>
      </c>
      <c r="F15" s="456">
        <f>IF(ISNUMBER((Datos!M15-Datos!W15)/Datos!W15),(Datos!M15-Datos!W15)/Datos!W15," - ")</f>
        <v>2.6434558349451968E-2</v>
      </c>
      <c r="G15" s="457">
        <f>IF(ISNUMBER((Datos!N15-Datos!X15)/Datos!X15),(Datos!N15-Datos!X15)/Datos!X15," - ")</f>
        <v>-2.8708133971291866E-3</v>
      </c>
      <c r="H15" s="455">
        <f>IF(ISNUMBER(((NºAsuntos!G15/NºAsuntos!E15)-Datos!BD15)/Datos!BD15),((NºAsuntos!G15/NºAsuntos!E15)-Datos!BD15)/Datos!BD15," - ")</f>
        <v>3.6716127220185725E-2</v>
      </c>
      <c r="I15" s="456">
        <f>IF(ISNUMBER(((NºAsuntos!I15/NºAsuntos!G15)-Datos!BE15)/Datos!BE15),((NºAsuntos!I15/NºAsuntos!G15)-Datos!BE15)/Datos!BE15," - ")</f>
        <v>3.4075085993037359E-2</v>
      </c>
      <c r="J15" s="461">
        <f>IF(ISNUMBER((('Resol  Asuntos'!D15/NºAsuntos!G15)-Datos!BF15)/Datos!BF15),(('Resol  Asuntos'!D15/NºAsuntos!G15)-Datos!BF15)/Datos!BF15," - ")</f>
        <v>9.5765297180307393E-3</v>
      </c>
      <c r="K15" s="462">
        <f>IF(ISNUMBER((((NºAsuntos!C15+NºAsuntos!E15)/NºAsuntos!G15)-Datos!BG15)/Datos!BG15),(((NºAsuntos!C15+NºAsuntos!E15)/NºAsuntos!G15)-Datos!BG15)/Datos!BG15," - ")</f>
        <v>3.1161501606842908E-3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0.36036036036036034</v>
      </c>
      <c r="C17" s="456">
        <f>IF(ISNUMBER(
   IF(D_I="SI",(Datos!J17-Datos!T17)/Datos!T17,(Datos!J17+Datos!AD17-(Datos!T17+Datos!AL17))/(Datos!T17+Datos!AL17))
     ),IF(D_I="SI",(Datos!J17-Datos!T17)/Datos!T17,(Datos!J17+Datos!AD17-(Datos!T17+Datos!AL17))/(Datos!T17+Datos!AL17))," - ")</f>
        <v>0.86619160728424383</v>
      </c>
      <c r="D17" s="456">
        <f>IF(ISNUMBER(
   IF(D_I="SI",(Datos!K17-Datos!U17)/Datos!U17,(Datos!K17+Datos!AE17-(Datos!U17+Datos!AM17))/(Datos!U17+Datos!AM17))
     ),IF(D_I="SI",(Datos!K17-Datos!U17)/Datos!U17,(Datos!K17+Datos!AE17-(Datos!U17+Datos!AM17))/(Datos!U17+Datos!AM17))," - ")</f>
        <v>0.33574879227053139</v>
      </c>
      <c r="E17" s="456">
        <f>IF(ISNUMBER(
   IF(D_I="SI",(Datos!L17-Datos!V17)/Datos!V17,(Datos!L17+Datos!AF17-(Datos!V17+Datos!AN17))/(Datos!V17+Datos!AN17))
     ),IF(D_I="SI",(Datos!L17-Datos!V17)/Datos!V17,(Datos!L17+Datos!AF17-(Datos!V17+Datos!AN17))/(Datos!V17+Datos!AN17))," - ")</f>
        <v>2.8344370860927151</v>
      </c>
      <c r="F17" s="456">
        <f>IF(ISNUMBER((Datos!M17-Datos!W17)/Datos!W17),(Datos!M17-Datos!W17)/Datos!W17," - ")</f>
        <v>0.3728813559322034</v>
      </c>
      <c r="G17" s="457">
        <f>IF(ISNUMBER((Datos!N17-Datos!X17)/Datos!X17),(Datos!N17-Datos!X17)/Datos!X17," - ")</f>
        <v>0.59279279279279284</v>
      </c>
      <c r="H17" s="455">
        <f>IF(ISNUMBER(((NºAsuntos!G17/NºAsuntos!E17)-Datos!BD17)/Datos!BD17),((NºAsuntos!G17/NºAsuntos!E17)-Datos!BD17)/Datos!BD17," - ")</f>
        <v>-0.28423813125257474</v>
      </c>
      <c r="I17" s="456">
        <f>IF(ISNUMBER(((NºAsuntos!I17/NºAsuntos!G17)-Datos!BE17)/Datos!BE17),((NºAsuntos!I17/NºAsuntos!G17)-Datos!BE17)/Datos!BE17," - ")</f>
        <v>1.8706274026082896</v>
      </c>
      <c r="J17" s="461">
        <f>IF(ISNUMBER((('Resol  Asuntos'!D17/NºAsuntos!G17)-Datos!BF17)/Datos!BF17),(('Resol  Asuntos'!D17/NºAsuntos!G17)-Datos!BF17)/Datos!BF17," - ")</f>
        <v>2.779906212645961E-2</v>
      </c>
      <c r="K17" s="462">
        <f>IF(ISNUMBER((((NºAsuntos!C17+NºAsuntos!E17)/NºAsuntos!G17)-Datos!BG17)/Datos!BG17),(((NºAsuntos!C17+NºAsuntos!E17)/NºAsuntos!G17)-Datos!BG17)/Datos!BG17," - ")</f>
        <v>0.36652005338092336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0.25606299212598427</v>
      </c>
      <c r="C18" s="855">
        <f>IF(ISNUMBER(
   IF(Criterios!B14="SI",(Datos!J18-Datos!T18)/Datos!T18,(Datos!J18+Datos!AD18-(Datos!T18+Datos!AL18))/(Datos!T18+Datos!AL18))
     ),IF(Criterios!B14="SI",(Datos!J18-Datos!T18)/Datos!T18,(Datos!J18+Datos!AD18-(Datos!T18+Datos!AL18))/(Datos!T18+Datos!AL18))," - ")</f>
        <v>3.8218198652332697E-2</v>
      </c>
      <c r="D18" s="855">
        <f>IF(ISNUMBER(
   IF(Criterios!B14="SI",(Datos!K18-Datos!U18)/Datos!U18,(Datos!K18+Datos!AE18-(Datos!U18+Datos!AM18))/(Datos!U18+Datos!AM18))
     ),IF(Criterios!B14="SI",(Datos!K18-Datos!U18)/Datos!U18,(Datos!K18+Datos!AE18-(Datos!U18+Datos!AM18))/(Datos!U18+Datos!AM18))," - ")</f>
        <v>3.7855731752896575E-2</v>
      </c>
      <c r="E18" s="855">
        <f>IF(ISNUMBER(
   IF(Criterios!B14="SI",(Datos!L18-Datos!V18)/Datos!V18,(Datos!L18+Datos!AF18-(Datos!V18+Datos!AN18))/(Datos!V18+Datos!AN18))
     ),IF(Criterios!B14="SI",(Datos!L18-Datos!V18)/Datos!V18,(Datos!L18+Datos!AF18-(Datos!V18+Datos!AN18))/(Datos!V18+Datos!AN18))," - ")</f>
        <v>0.15672016048144433</v>
      </c>
      <c r="F18" s="856">
        <f>IF(ISNUMBER((Datos!M18-Datos!W18)/Datos!W18),(Datos!M18-Datos!W18)/Datos!W18," - ")</f>
        <v>5.0928699820251645E-2</v>
      </c>
      <c r="G18" s="857">
        <f>IF(ISNUMBER((Datos!N18-Datos!X18)/Datos!X18),(Datos!N18-Datos!X18)/Datos!X18," - ")</f>
        <v>2.237495227185949E-2</v>
      </c>
      <c r="H18" s="857">
        <f>IF(ISNUMBER(((NºAsuntos!G18/NºAsuntos!E18)-Datos!BD18)/Datos!BD18),((NºAsuntos!G18/NºAsuntos!E18)-Datos!BD18)/Datos!BD18," - ")</f>
        <v>-3.4912400871664863E-4</v>
      </c>
      <c r="I18" s="857">
        <f>IF(ISNUMBER(((NºAsuntos!I18/NºAsuntos!G18)-Datos!BE18)/Datos!BE18),((NºAsuntos!I18/NºAsuntos!G18)-Datos!BE18)/Datos!BE18," - ")</f>
        <v>0.11452885511148113</v>
      </c>
      <c r="J18" s="857">
        <f>IF(ISNUMBER((('Resol  Asuntos'!D18/NºAsuntos!G18)-Datos!BF18)/Datos!BF18),(('Resol  Asuntos'!D18/NºAsuntos!G18)-Datos!BF18)/Datos!BF18," - ")</f>
        <v>1.2596132263272643E-2</v>
      </c>
      <c r="K18" s="857">
        <f>IF(ISNUMBER((((NºAsuntos!C18+NºAsuntos!E18)/NºAsuntos!G18)-Datos!BG18)/Datos!BG18),(((NºAsuntos!C18+NºAsuntos!E18)/NºAsuntos!G18)-Datos!BG18)/Datos!BG18," - ")</f>
        <v>2.981639572518377E-2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0.22227860948997716</v>
      </c>
      <c r="C19" s="802">
        <f>IF(ISNUMBER(
   IF(J_V="SI",(Datos!J19-Datos!T19)/Datos!T19,(Datos!J19+Datos!Z19-(Datos!T19+Datos!AH19))/(Datos!T19+Datos!AH19))
     ),IF(J_V="SI",(Datos!J19-Datos!T19)/Datos!T19,(Datos!J19+Datos!Z19-(Datos!T19+Datos!AH19))/(Datos!T19+Datos!AH19))," - ")</f>
        <v>0.10968165408598622</v>
      </c>
      <c r="D19" s="802">
        <f>IF(ISNUMBER(
   IF(J_V="SI",(Datos!K19-Datos!U19)/Datos!U19,(Datos!K19+Datos!AA19-(Datos!U19+Datos!AI19))/(Datos!U19+Datos!AI19))
     ),IF(J_V="SI",(Datos!K19-Datos!U19)/Datos!U19,(Datos!K19+Datos!AA19-(Datos!U19+Datos!AI19))/(Datos!U19+Datos!AI19))," - ")</f>
        <v>0.10600264559722569</v>
      </c>
      <c r="E19" s="802">
        <f>IF(ISNUMBER(
   IF(J_V="SI",(Datos!L19-Datos!V19)/Datos!V19,(Datos!L19+Datos!AB19-(Datos!V19+Datos!AJ19))/(Datos!V19+Datos!AJ19))
     ),IF(J_V="SI",(Datos!L19-Datos!V19)/Datos!V19,(Datos!L19+Datos!AB19-(Datos!V19+Datos!AJ19))/(Datos!V19+Datos!AJ19))," - ")</f>
        <v>0.19562660023527784</v>
      </c>
      <c r="F19" s="803">
        <f>IF(ISNUMBER((Datos!M19-Datos!W19)/Datos!W19),(Datos!M19-Datos!W19)/Datos!W19," - ")</f>
        <v>0.15896885069817401</v>
      </c>
      <c r="G19" s="804">
        <f>IF(ISNUMBER((Datos!N19-Datos!X19)/Datos!X19),(Datos!N19-Datos!X19)/Datos!X19," - ")</f>
        <v>8.8114879315612585E-2</v>
      </c>
      <c r="H19" s="805">
        <f>IF(ISNUMBER((Tasas!B19-Datos!BD19)/Datos!BD19),(Tasas!B19-Datos!BD19)/Datos!BD19," - ")</f>
        <v>-3.315372904664961E-3</v>
      </c>
      <c r="I19" s="806">
        <f>IF(ISNUMBER((Tasas!C19-Datos!BE19)/Datos!BE19),(Tasas!C19-Datos!BE19)/Datos!BE19," - ")</f>
        <v>8.1034123195660598E-2</v>
      </c>
      <c r="J19" s="807">
        <f>IF(ISNUMBER((Tasas!D19-Datos!BF19)/Datos!BF19),(Tasas!D19-Datos!BF19)/Datos!BF19," - ")</f>
        <v>-0.20538760350583818</v>
      </c>
      <c r="K19" s="807">
        <f>IF(ISNUMBER((Tasas!E19-Datos!BG19)/Datos!BG19),(Tasas!E19-Datos!BG19)/Datos!BG19," - ")</f>
        <v>3.1786059295689686E-2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YcleP51hUUlkMpzmVWGiw5NNdvq+sSRTo+c5fq8ddSW6TLs1ABF8XpYeFVj77bYOb/5IiZKVMNSiyf2Ed9uGQ==" saltValue="uPuwd1GZcLAlX2Rqqjd9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MARBELLA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0.84149962880475127</v>
      </c>
      <c r="C9" s="443">
        <f>IF(ISNUMBER(NºAsuntos!I9/NºAsuntos!G9),NºAsuntos!I9/NºAsuntos!G9," - ")</f>
        <v>1.1086898985443316</v>
      </c>
      <c r="D9" s="444">
        <f>IF(ISNUMBER('Resol  Asuntos'!D9/NºAsuntos!G9),'Resol  Asuntos'!D9/NºAsuntos!G9," - ")</f>
        <v>0.22179091310101456</v>
      </c>
      <c r="E9" s="445">
        <f>IF(ISNUMBER((NºAsuntos!C9+NºAsuntos!E9)/NºAsuntos!G9),(NºAsuntos!C9+NºAsuntos!E9)/NºAsuntos!G9," - ")</f>
        <v>2.1043670048522278</v>
      </c>
      <c r="G9" s="463"/>
    </row>
    <row r="10" spans="1:7">
      <c r="A10" s="402" t="str">
        <f>Datos!A10</f>
        <v>Jdos. Violencia contra la mujer</v>
      </c>
      <c r="B10" s="442">
        <f>IF(ISNUMBER(NºAsuntos!G10/NºAsuntos!E10),NºAsuntos!G10/NºAsuntos!E10," - ")</f>
        <v>1.0316455696202531</v>
      </c>
      <c r="C10" s="443">
        <f>IF(ISNUMBER(NºAsuntos!I10/NºAsuntos!G10),NºAsuntos!I10/NºAsuntos!G10," - ")</f>
        <v>0.60122699386503065</v>
      </c>
      <c r="D10" s="444">
        <f>IF(ISNUMBER('Resol  Asuntos'!D10/NºAsuntos!G10),'Resol  Asuntos'!D10/NºAsuntos!G10," - ")</f>
        <v>0.29447852760736198</v>
      </c>
      <c r="E10" s="445">
        <f>IF(ISNUMBER((NºAsuntos!C10+NºAsuntos!E10)/NºAsuntos!G10),(NºAsuntos!C10+NºAsuntos!E10)/NºAsuntos!G10," - ")</f>
        <v>1.4601226993865031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0.84370413853830351</v>
      </c>
      <c r="C13" s="859">
        <f>IF(ISNUMBER(NºAsuntos!I13/NºAsuntos!G13),NºAsuntos!I13/NºAsuntos!G13," - ")</f>
        <v>1.1014959123325796</v>
      </c>
      <c r="D13" s="860">
        <f>IF(ISNUMBER('Resol  Asuntos'!D13/NºAsuntos!G13),'Resol  Asuntos'!D13/NºAsuntos!G13," - ")</f>
        <v>0.22282136023656288</v>
      </c>
      <c r="E13" s="861">
        <f>IF(ISNUMBER((NºAsuntos!C13+NºAsuntos!E13)/NºAsuntos!G13),(NºAsuntos!C13+NºAsuntos!E13)/NºAsuntos!G13," - ")</f>
        <v>2.0952339537310838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0.99730745498401296</v>
      </c>
      <c r="C15" s="443">
        <f>IF(ISNUMBER(NºAsuntos!I15/NºAsuntos!G15),NºAsuntos!I15/NºAsuntos!G15," - ")</f>
        <v>0.22689690083806738</v>
      </c>
      <c r="D15" s="444">
        <f>IF(ISNUMBER('Resol  Asuntos'!D15/NºAsuntos!G15),'Resol  Asuntos'!D15/NºAsuntos!G15," - ")</f>
        <v>8.9543843860734579E-2</v>
      </c>
      <c r="E15" s="445">
        <f>IF(ISNUMBER((NºAsuntos!C15+NºAsuntos!E15)/NºAsuntos!G15),(NºAsuntos!C15+NºAsuntos!E15)/NºAsuntos!G15," - ")</f>
        <v>1.218516227009393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0.70386084005091221</v>
      </c>
      <c r="C17" s="443">
        <f>IF(ISNUMBER(NºAsuntos!I17/NºAsuntos!G17),NºAsuntos!I17/NºAsuntos!G17," - ")</f>
        <v>0.34900542495479203</v>
      </c>
      <c r="D17" s="444">
        <f>IF(ISNUMBER('Resol  Asuntos'!D17/NºAsuntos!G17),'Resol  Asuntos'!D17/NºAsuntos!G17," - ")</f>
        <v>9.7649186256781192E-2</v>
      </c>
      <c r="E17" s="445">
        <f>IF(ISNUMBER((NºAsuntos!C17+NºAsuntos!E17)/NºAsuntos!G17),(NºAsuntos!C17+NºAsuntos!E17)/NºAsuntos!G17," - ")</f>
        <v>1.511754068716094</v>
      </c>
      <c r="G17" s="463"/>
    </row>
    <row r="18" spans="1:7" ht="14.25" thickTop="1" thickBot="1">
      <c r="A18" s="848" t="str">
        <f>Datos!A18</f>
        <v>TOTAL</v>
      </c>
      <c r="B18" s="858">
        <f>IF(ISNUMBER(NºAsuntos!G18/NºAsuntos!E18),NºAsuntos!G18/NºAsuntos!E18," - ")</f>
        <v>0.96304003170828378</v>
      </c>
      <c r="C18" s="859">
        <f>IF(ISNUMBER(NºAsuntos!I18/NºAsuntos!G18),NºAsuntos!I18/NºAsuntos!G18," - ")</f>
        <v>0.23731865418252907</v>
      </c>
      <c r="D18" s="862">
        <f>IF(ISNUMBER('Resol  Asuntos'!D18/NºAsuntos!G18),'Resol  Asuntos'!D18/NºAsuntos!G18," - ")</f>
        <v>9.0235620948657266E-2</v>
      </c>
      <c r="E18" s="861">
        <f>IF(ISNUMBER((NºAsuntos!C18+NºAsuntos!E18)/NºAsuntos!G18),(NºAsuntos!C18+NºAsuntos!E18)/NºAsuntos!G18," - ")</f>
        <v>1.2435435744418151</v>
      </c>
      <c r="G18" s="463"/>
    </row>
    <row r="19" spans="1:7" ht="15.75" customHeight="1" thickTop="1" thickBot="1">
      <c r="A19" s="793" t="str">
        <f>Datos!A19</f>
        <v>TOTAL JURISDICCIONES</v>
      </c>
      <c r="B19" s="808">
        <f>IF(ISNUMBER(NºAsuntos!G19/NºAsuntos!E19),NºAsuntos!G19/NºAsuntos!E19," - ")</f>
        <v>0.91494144090855323</v>
      </c>
      <c r="C19" s="809">
        <f>IF(ISNUMBER(NºAsuntos!I19/NºAsuntos!G19),NºAsuntos!I19/NºAsuntos!G19," - ")</f>
        <v>0.55850788725109901</v>
      </c>
      <c r="D19" s="810">
        <f>IF(ISNUMBER('Resol  Asuntos'!D19/NºAsuntos!G19),'Resol  Asuntos'!D19/NºAsuntos!G19," - ")</f>
        <v>0.1395138350142229</v>
      </c>
      <c r="E19" s="811">
        <f>IF(ISNUMBER((NºAsuntos!C19+NºAsuntos!E19)/NºAsuntos!G19),(NºAsuntos!C19+NºAsuntos!E19)/NºAsuntos!G19," - ")</f>
        <v>1.560091802430825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aE+hyL9niXTIHdOAG5DGFezx2lMTEi9YJUXnr3AcSc435yyQFw44+HQxK72TW6o5rj56tJFxYgOzhKiYxEj4A==" saltValue="MFU2cUiZ2kU4NA3YS1ZQ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MARBELLA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2828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2775</v>
      </c>
      <c r="Y9" s="334">
        <f>SUM(W9:X9)</f>
        <v>2775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10469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2514</v>
      </c>
      <c r="AJ9" s="229" t="str">
        <f>IF(ISNUMBER(Datos!BW9),Datos!BW9," - ")</f>
        <v xml:space="preserve"> - </v>
      </c>
      <c r="AK9" s="228" t="str">
        <f>IF(ISNUMBER(Datos!BX9),Datos!BX9," - ")</f>
        <v xml:space="preserve"> - </v>
      </c>
      <c r="AL9" s="243">
        <f>IF(ISNUMBER(NºAsuntos!G9/NºAsuntos!E9),NºAsuntos!G9/NºAsuntos!E9," - ")</f>
        <v>0.84149962880475127</v>
      </c>
      <c r="AM9" s="260">
        <f>IF(ISNUMBER(((NºAsuntos!I9/NºAsuntos!G9)*11)/factor_trimestre),((NºAsuntos!I9/NºAsuntos!G9)*11)/factor_trimestre," - ")</f>
        <v>12.195588883987648</v>
      </c>
      <c r="AN9" s="244">
        <f>IF(ISNUMBER('Resol  Asuntos'!D9/NºAsuntos!G9),'Resol  Asuntos'!D9/NºAsuntos!G9," - ")</f>
        <v>0.22179091310101456</v>
      </c>
      <c r="AO9" s="245">
        <f>IF(ISNUMBER((NºAsuntos!C9+NºAsuntos!E9)/NºAsuntos!G9),(NºAsuntos!C9+NºAsuntos!E9)/NºAsuntos!G9," - ")</f>
        <v>2.1043670048522278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103</v>
      </c>
      <c r="G10" s="333">
        <f>IF(ISNUMBER(Datos!I10),Datos!I10," - ")</f>
        <v>80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163</v>
      </c>
      <c r="X10" s="226">
        <f>IF(ISNUMBER(Datos!Q10),Datos!Q10," - ")</f>
        <v>129</v>
      </c>
      <c r="Y10" s="334">
        <f t="shared" ref="Y10:Y12" si="0">SUM(W10:X10)</f>
        <v>292</v>
      </c>
      <c r="Z10" s="335" t="str">
        <f>IF(ISNUMBER(Datos!CC10),Datos!CC10," - ")</f>
        <v xml:space="preserve"> - </v>
      </c>
      <c r="AA10" s="332">
        <f>IF(ISNUMBER(Datos!L10),Datos!L10,"-")</f>
        <v>98</v>
      </c>
      <c r="AB10" s="334">
        <f>IF(ISNUMBER(Datos!R10),Datos!R10," - ")</f>
        <v>49</v>
      </c>
      <c r="AC10" s="334">
        <f t="shared" ref="AC10:AC12" si="1">IF(ISNUMBER(AA10+AB10),AA10+AB10," - ")</f>
        <v>147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48</v>
      </c>
      <c r="AJ10" s="231" t="str">
        <f>IF(ISNUMBER(Datos!BW10),Datos!BW10," - ")</f>
        <v xml:space="preserve"> - </v>
      </c>
      <c r="AK10" s="232" t="str">
        <f>IF(ISNUMBER(Datos!BX10),Datos!BX10," - ")</f>
        <v xml:space="preserve"> - </v>
      </c>
      <c r="AL10" s="243">
        <f>IF(ISNUMBER(NºAsuntos!G10/NºAsuntos!E10),NºAsuntos!G10/NºAsuntos!E10," - ")</f>
        <v>1.0316455696202531</v>
      </c>
      <c r="AM10" s="260">
        <f>IF(ISNUMBER(((NºAsuntos!I10/NºAsuntos!G10)*11)/factor_trimestre),((NºAsuntos!I10/NºAsuntos!G10)*11)/factor_trimestre," - ")</f>
        <v>6.6134969325153374</v>
      </c>
      <c r="AN10" s="244">
        <f>IF(ISNUMBER('Resol  Asuntos'!D10/NºAsuntos!G10),'Resol  Asuntos'!D10/NºAsuntos!G10," - ")</f>
        <v>0.29447852760736198</v>
      </c>
      <c r="AO10" s="245">
        <f>IF(ISNUMBER((NºAsuntos!C10+NºAsuntos!E10)/NºAsuntos!G10),(NºAsuntos!C10+NºAsuntos!E10)/NºAsuntos!G10," - ")</f>
        <v>1.4601226993865031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103</v>
      </c>
      <c r="G13" s="866">
        <f t="shared" si="3"/>
        <v>80</v>
      </c>
      <c r="H13" s="865">
        <f t="shared" si="3"/>
        <v>0</v>
      </c>
      <c r="I13" s="867">
        <f t="shared" si="3"/>
        <v>0</v>
      </c>
      <c r="J13" s="867">
        <f t="shared" si="3"/>
        <v>0</v>
      </c>
      <c r="K13" s="867">
        <f t="shared" si="3"/>
        <v>0</v>
      </c>
      <c r="L13" s="867">
        <f t="shared" si="3"/>
        <v>2867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163</v>
      </c>
      <c r="X13" s="867">
        <f t="shared" si="4"/>
        <v>2904</v>
      </c>
      <c r="Y13" s="868">
        <f t="shared" si="4"/>
        <v>3067</v>
      </c>
      <c r="Z13" s="868">
        <f t="shared" si="4"/>
        <v>0</v>
      </c>
      <c r="AA13" s="868">
        <f t="shared" si="4"/>
        <v>98</v>
      </c>
      <c r="AB13" s="868">
        <f t="shared" si="4"/>
        <v>10518</v>
      </c>
      <c r="AC13" s="868">
        <f t="shared" si="4"/>
        <v>147</v>
      </c>
      <c r="AD13" s="868">
        <f t="shared" si="4"/>
        <v>0</v>
      </c>
      <c r="AE13" s="872">
        <f t="shared" si="4"/>
        <v>0</v>
      </c>
      <c r="AF13" s="865">
        <f t="shared" si="4"/>
        <v>0</v>
      </c>
      <c r="AG13" s="873">
        <f t="shared" si="4"/>
        <v>0</v>
      </c>
      <c r="AH13" s="870">
        <f t="shared" si="4"/>
        <v>0</v>
      </c>
      <c r="AI13" s="865">
        <f t="shared" si="4"/>
        <v>2562</v>
      </c>
      <c r="AJ13" s="867">
        <f t="shared" si="4"/>
        <v>0</v>
      </c>
      <c r="AK13" s="870">
        <f>SUBTOTAL(9,AK9:AK12)</f>
        <v>0</v>
      </c>
      <c r="AL13" s="874">
        <f>IF(ISNUMBER(NºAsuntos!G13/NºAsuntos!E13),NºAsuntos!G13/NºAsuntos!E13," - ")</f>
        <v>0.84370413853830351</v>
      </c>
      <c r="AM13" s="874">
        <f>IF(ISNUMBER(((NºAsuntos!I13/NºAsuntos!G13)*11)/factor_trimestre),((NºAsuntos!I13/NºAsuntos!G13)*11)/factor_trimestre," - ")</f>
        <v>12.116455035658376</v>
      </c>
      <c r="AN13" s="875">
        <f>IF(ISNUMBER('Resol  Asuntos'!D13/NºAsuntos!G13),'Resol  Asuntos'!D13/NºAsuntos!G13," - ")</f>
        <v>0.22282136023656288</v>
      </c>
      <c r="AO13" s="876">
        <f>IF(ISNUMBER((NºAsuntos!C13+NºAsuntos!E13)/NºAsuntos!G13),(NºAsuntos!C13+NºAsuntos!E13)/NºAsuntos!G13," - ")</f>
        <v>2.0952339537310838</v>
      </c>
      <c r="AP13" s="877" t="str">
        <f t="shared" si="2"/>
        <v xml:space="preserve"> - </v>
      </c>
      <c r="AQ13" s="877">
        <f>IF(ISNUMBER((H13-W13+K13)/(F13)),(H13-W13+K13)/(F13)," - ")</f>
        <v>-1.5825242718446602</v>
      </c>
      <c r="AR13" s="878">
        <f>IF(ISNUMBER((Datos!P13-Datos!Q13)/(Datos!R13-Datos!P13+Datos!Q13)),(Datos!P13-Datos!Q13)/(Datos!R13-Datos!P13+Datos!Q13)," - ")</f>
        <v>-3.5054476551397442E-3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3986</v>
      </c>
      <c r="G15" s="333">
        <f>IF(ISNUMBER(IF(D_I="SI",Datos!I15,Datos!I15+Datos!AC15)),IF(D_I="SI",Datos!I15,Datos!I15+Datos!AC15)," - ")</f>
        <v>3837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397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17779</v>
      </c>
      <c r="X15" s="226">
        <f>IF(ISNUMBER(Datos!Q15),Datos!Q15," - ")</f>
        <v>390</v>
      </c>
      <c r="Y15" s="334">
        <f>SUM(W15)</f>
        <v>17779</v>
      </c>
      <c r="Z15" s="335" t="str">
        <f>IF(ISNUMBER(Datos!CC15),Datos!CC15," - ")</f>
        <v xml:space="preserve"> - </v>
      </c>
      <c r="AA15" s="332">
        <f>IF(ISNUMBER(IF(D_I="SI",Datos!L15,Datos!L15+Datos!AF15)),IF(D_I="SI",Datos!L15,Datos!L15+Datos!AF15)," - ")</f>
        <v>4034</v>
      </c>
      <c r="AB15" s="334">
        <f>IF(ISNUMBER(Datos!R15),Datos!R15," - ")</f>
        <v>348</v>
      </c>
      <c r="AC15" s="334">
        <f t="shared" ref="AC15:AC17" si="6">IF(ISNUMBER(AA15+AB15),AA15+AB15," - ")</f>
        <v>4382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1592</v>
      </c>
      <c r="AJ15" s="231" t="str">
        <f>IF(ISNUMBER(Datos!BW15),Datos!BW15," - ")</f>
        <v xml:space="preserve"> - </v>
      </c>
      <c r="AK15" s="232" t="str">
        <f>IF(ISNUMBER(Datos!BX15),Datos!BX15," - ")</f>
        <v xml:space="preserve"> - </v>
      </c>
      <c r="AL15" s="243">
        <f>IF(ISNUMBER(NºAsuntos!G15/NºAsuntos!E15),NºAsuntos!G15/NºAsuntos!E15," - ")</f>
        <v>0.99730745498401296</v>
      </c>
      <c r="AM15" s="260">
        <f>IF(ISNUMBER(((NºAsuntos!I15/NºAsuntos!G15)*11)/factor_trimestre),((NºAsuntos!I15/NºAsuntos!G15)*11)/factor_trimestre," - ")</f>
        <v>2.495865909218741</v>
      </c>
      <c r="AN15" s="244">
        <f>IF(ISNUMBER('Resol  Asuntos'!D15/NºAsuntos!G15),'Resol  Asuntos'!D15/NºAsuntos!G15," - ")</f>
        <v>8.9543843860734579E-2</v>
      </c>
      <c r="AO15" s="245">
        <f>IF(ISNUMBER((NºAsuntos!C15+NºAsuntos!E15)/NºAsuntos!G15),(NºAsuntos!C15+NºAsuntos!E15)/NºAsuntos!G15," - ")</f>
        <v>1.218516227009393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1659</v>
      </c>
      <c r="X17" s="226">
        <f>IF(ISNUMBER(Datos!Q17),Datos!Q17," - ")</f>
        <v>28</v>
      </c>
      <c r="Y17" s="334">
        <f t="shared" si="7"/>
        <v>1687</v>
      </c>
      <c r="Z17" s="335" t="str">
        <f>IF(ISNUMBER(Datos!CC17),Datos!CC17," - ")</f>
        <v xml:space="preserve"> - </v>
      </c>
      <c r="AA17" s="332">
        <f>IF(ISNUMBER(Datos!L17),Datos!L17,"-")</f>
        <v>579</v>
      </c>
      <c r="AB17" s="334">
        <f>IF(ISNUMBER(Datos!R17),Datos!R17," - ")</f>
        <v>55</v>
      </c>
      <c r="AC17" s="334">
        <f t="shared" si="6"/>
        <v>634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162</v>
      </c>
      <c r="AJ17" s="231" t="str">
        <f>IF(ISNUMBER(Datos!BW17),Datos!BW17," - ")</f>
        <v xml:space="preserve"> - </v>
      </c>
      <c r="AK17" s="232" t="str">
        <f>IF(ISNUMBER(Datos!BX17),Datos!BX17," - ")</f>
        <v xml:space="preserve"> - </v>
      </c>
      <c r="AL17" s="243">
        <f>IF(ISNUMBER(NºAsuntos!G17/NºAsuntos!E17),NºAsuntos!G17/NºAsuntos!E17," - ")</f>
        <v>0.70386084005091221</v>
      </c>
      <c r="AM17" s="260">
        <f>IF(ISNUMBER(((NºAsuntos!I17/NºAsuntos!G17)*11)/factor_trimestre),((NºAsuntos!I17/NºAsuntos!G17)*11)/factor_trimestre," - ")</f>
        <v>3.8390596745027121</v>
      </c>
      <c r="AN17" s="244">
        <f>IF(ISNUMBER('Resol  Asuntos'!D17/NºAsuntos!G17),'Resol  Asuntos'!D17/NºAsuntos!G17," - ")</f>
        <v>9.7649186256781192E-2</v>
      </c>
      <c r="AO17" s="245">
        <f>IF(ISNUMBER((NºAsuntos!C17+NºAsuntos!E17)/NºAsuntos!G17),(NºAsuntos!C17+NºAsuntos!E17)/NºAsuntos!G17," - ")</f>
        <v>1.511754068716094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3986</v>
      </c>
      <c r="G18" s="866">
        <f>SUBTOTAL(9,G15:G17)</f>
        <v>3988</v>
      </c>
      <c r="H18" s="865">
        <f t="shared" ref="H18:O18" si="10">SUBTOTAL(9,H14:H17)</f>
        <v>0</v>
      </c>
      <c r="I18" s="867">
        <f t="shared" si="10"/>
        <v>0</v>
      </c>
      <c r="J18" s="867">
        <f t="shared" si="10"/>
        <v>0</v>
      </c>
      <c r="K18" s="867">
        <f t="shared" si="10"/>
        <v>0</v>
      </c>
      <c r="L18" s="867">
        <f t="shared" si="10"/>
        <v>477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19438</v>
      </c>
      <c r="X18" s="867">
        <f t="shared" si="11"/>
        <v>418</v>
      </c>
      <c r="Y18" s="868">
        <f t="shared" si="11"/>
        <v>19466</v>
      </c>
      <c r="Z18" s="868">
        <f t="shared" si="11"/>
        <v>0</v>
      </c>
      <c r="AA18" s="868">
        <f t="shared" si="11"/>
        <v>4613</v>
      </c>
      <c r="AB18" s="868">
        <f t="shared" si="11"/>
        <v>403</v>
      </c>
      <c r="AC18" s="868">
        <f t="shared" si="11"/>
        <v>5016</v>
      </c>
      <c r="AD18" s="868">
        <f t="shared" si="11"/>
        <v>0</v>
      </c>
      <c r="AE18" s="872">
        <f t="shared" si="11"/>
        <v>0</v>
      </c>
      <c r="AF18" s="865">
        <f t="shared" si="11"/>
        <v>0</v>
      </c>
      <c r="AG18" s="873">
        <f t="shared" si="11"/>
        <v>0</v>
      </c>
      <c r="AH18" s="870">
        <f t="shared" si="11"/>
        <v>0</v>
      </c>
      <c r="AI18" s="865">
        <f t="shared" si="11"/>
        <v>1754</v>
      </c>
      <c r="AJ18" s="867">
        <f t="shared" si="11"/>
        <v>0</v>
      </c>
      <c r="AK18" s="870">
        <f t="shared" si="11"/>
        <v>0</v>
      </c>
      <c r="AL18" s="874">
        <f>IF(ISNUMBER(NºAsuntos!G18/NºAsuntos!E18),NºAsuntos!G18/NºAsuntos!E18," - ")</f>
        <v>0.96304003170828378</v>
      </c>
      <c r="AM18" s="874">
        <f>IF(ISNUMBER(((NºAsuntos!I18/NºAsuntos!G18)*11)/factor_trimestre),((NºAsuntos!I18/NºAsuntos!G18)*11)/factor_trimestre," - ")</f>
        <v>2.6105051960078196</v>
      </c>
      <c r="AN18" s="875">
        <f>IF(ISNUMBER('Resol  Asuntos'!D18/NºAsuntos!G18),'Resol  Asuntos'!D18/NºAsuntos!G18," - ")</f>
        <v>9.0235620948657266E-2</v>
      </c>
      <c r="AO18" s="876">
        <f>IF(ISNUMBER((NºAsuntos!C18+NºAsuntos!E18)/NºAsuntos!G18),(NºAsuntos!C18+NºAsuntos!E18)/NºAsuntos!G18," - ")</f>
        <v>1.2435435744418151</v>
      </c>
      <c r="AP18" s="877" t="str">
        <f t="shared" si="2"/>
        <v xml:space="preserve"> - </v>
      </c>
      <c r="AQ18" s="877">
        <f>IF(ISNUMBER((H18-W18+K18)/(F18)),(H18-W18+K18)/(F18)," - ")</f>
        <v>-4.8765679879578521</v>
      </c>
      <c r="AR18" s="878">
        <f>IF(ISNUMBER((Datos!P18-Datos!Q18)/(Datos!R18-Datos!P18+Datos!Q18)),(Datos!P18-Datos!Q18)/(Datos!R18-Datos!P18+Datos!Q18)," - ")</f>
        <v>0.17151162790697674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4089</v>
      </c>
      <c r="G19" s="821">
        <f t="shared" si="13"/>
        <v>4068</v>
      </c>
      <c r="H19" s="820">
        <f t="shared" si="13"/>
        <v>0</v>
      </c>
      <c r="I19" s="822">
        <f t="shared" si="13"/>
        <v>0</v>
      </c>
      <c r="J19" s="822">
        <f t="shared" si="13"/>
        <v>0</v>
      </c>
      <c r="K19" s="881">
        <f t="shared" si="13"/>
        <v>0</v>
      </c>
      <c r="L19" s="822">
        <f t="shared" si="13"/>
        <v>3344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19601</v>
      </c>
      <c r="X19" s="821">
        <f t="shared" si="14"/>
        <v>3322</v>
      </c>
      <c r="Y19" s="828">
        <f t="shared" si="14"/>
        <v>22533</v>
      </c>
      <c r="Z19" s="828">
        <f t="shared" si="14"/>
        <v>0</v>
      </c>
      <c r="AA19" s="828">
        <f t="shared" si="14"/>
        <v>4711</v>
      </c>
      <c r="AB19" s="828">
        <f t="shared" si="14"/>
        <v>10921</v>
      </c>
      <c r="AC19" s="828">
        <f t="shared" si="14"/>
        <v>5163</v>
      </c>
      <c r="AD19" s="828">
        <f t="shared" si="14"/>
        <v>0</v>
      </c>
      <c r="AE19" s="830">
        <f t="shared" si="14"/>
        <v>0</v>
      </c>
      <c r="AF19" s="831">
        <f t="shared" si="14"/>
        <v>0</v>
      </c>
      <c r="AG19" s="832">
        <f t="shared" si="14"/>
        <v>0</v>
      </c>
      <c r="AH19" s="830">
        <f t="shared" si="14"/>
        <v>0</v>
      </c>
      <c r="AI19" s="820">
        <f t="shared" si="14"/>
        <v>4316</v>
      </c>
      <c r="AJ19" s="820">
        <f t="shared" si="14"/>
        <v>0</v>
      </c>
      <c r="AK19" s="830">
        <f t="shared" si="14"/>
        <v>0</v>
      </c>
      <c r="AL19" s="884">
        <f>IF(ISNUMBER(NºAsuntos!G19/NºAsuntos!E19),NºAsuntos!G19/NºAsuntos!E19," - ")</f>
        <v>0.91494144090855323</v>
      </c>
      <c r="AM19" s="885">
        <f>IF(ISNUMBER(((NºAsuntos!I19/NºAsuntos!G19)*11)/factor_trimestre),((NºAsuntos!I19/NºAsuntos!G19)*11)/factor_trimestre," - ")</f>
        <v>6.1435867597620888</v>
      </c>
      <c r="AN19" s="885">
        <f>IF(ISNUMBER('Resol  Asuntos'!D19/NºAsuntos!G19),'Resol  Asuntos'!D19/NºAsuntos!G19," - ")</f>
        <v>0.1395138350142229</v>
      </c>
      <c r="AO19" s="886">
        <f>IF(ISNUMBER((NºAsuntos!C19+NºAsuntos!E19)/NºAsuntos!G19),(NºAsuntos!C19+NºAsuntos!E19)/NºAsuntos!G19," - ")</f>
        <v>1.560091802430825</v>
      </c>
      <c r="AP19" s="887" t="str">
        <f t="shared" si="2"/>
        <v xml:space="preserve"> - </v>
      </c>
      <c r="AQ19" s="888">
        <f>IF(OR(ISNUMBER(FIND("01",Criterios!A8,1)),ISNUMBER(FIND("02",Criterios!A8,1)),ISNUMBER(FIND("03",Criterios!A8,1)),ISNUMBER(FIND("04",Criterios!A8,1))),(I19-W19+K19)/(F19-K19),(H19-W19+K19)/(F19-K19))</f>
        <v>-4.7935925654194182</v>
      </c>
      <c r="AR19" s="889">
        <f>IF(ISNUMBER((Datos!P19-Datos!Q19)/(Datos!R19-Datos!P19+Datos!Q19)),(Datos!P19-Datos!Q19)/(Datos!R19-Datos!P19+Datos!Q19)," - ")</f>
        <v>2.018533810441325E-3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3.6742346141747673</v>
      </c>
      <c r="F21" s="252">
        <f>IF(ISNUMBER(STDEV(F8:F18)),STDEV(F8:F18),"-")</f>
        <v>2241.8510952633169</v>
      </c>
      <c r="G21" s="253">
        <f>IF(ISNUMBER(STDEV(G8:G18)),STDEV(G8:G18),"-")</f>
        <v>2087.0682068394412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9866.2903768336346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1104.9884463951046</v>
      </c>
      <c r="AJ21" s="252">
        <f t="shared" si="18"/>
        <v>0</v>
      </c>
      <c r="AK21" s="254">
        <f t="shared" si="18"/>
        <v>0</v>
      </c>
      <c r="AL21" s="249">
        <f t="shared" si="18"/>
        <v>0.12310615572727711</v>
      </c>
      <c r="AM21" s="250">
        <f t="shared" si="18"/>
        <v>4.519128513091208</v>
      </c>
      <c r="AN21" s="250">
        <f t="shared" si="18"/>
        <v>8.8357760329373786E-2</v>
      </c>
      <c r="AO21" s="251">
        <f t="shared" si="18"/>
        <v>0.39984980668698056</v>
      </c>
      <c r="AP21" s="291" t="str">
        <f t="shared" si="18"/>
        <v>-</v>
      </c>
      <c r="AQ21" s="292">
        <f t="shared" si="18"/>
        <v>2.3292406491885727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GBlzasADoTbQcpE5r64VS5fSnTF59qj/dOqC4SaN0izjVJa6vsLUwCTPem2YOwA26kJRKGKi+MtAfx+iuGpEVw==" saltValue="u1o6T79aPxcdUO+7Er7k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MARBELLA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0.2451708766716196</v>
      </c>
      <c r="I9" s="350">
        <f>IF(ISNUMBER((Tasas!C9-Datos!BE9)/Datos!BE9),(Tasas!C9-Datos!BE9)/Datos!BE9," - ")</f>
        <v>-2.5852071229901082E-2</v>
      </c>
      <c r="J9" s="349">
        <f>IF(ISNUMBER((Tasas!D9-Datos!BF9)/Datos!BF9),(Tasas!D9-Datos!BF9)/Datos!BF9," - ")</f>
        <v>-0.3688713349280861</v>
      </c>
      <c r="K9" s="351">
        <f>IF(ISNUMBER((Tasas!E9-Datos!BG9)/Datos!BG9),(Tasas!E9-Datos!BG9)/Datos!BG9," - ")</f>
        <v>-1.3405612556304309E-2</v>
      </c>
      <c r="M9" t="e">
        <f>IF(Monitorios="SI",Datos!CE9,0)</f>
        <v>#REF!</v>
      </c>
      <c r="N9" t="e">
        <f>IF(Monitorios="SI",Datos!CF9,0)</f>
        <v>#REF!</v>
      </c>
      <c r="O9" t="e">
        <f>IF(Monitorios="SI",Datos!CG9,0)</f>
        <v>#REF!</v>
      </c>
      <c r="P9" t="e">
        <f>IF(Monitorios="SI",Datos!CH9,0)</f>
        <v>#REF!</v>
      </c>
      <c r="Q9">
        <f>IF(J_V="SI",0,Datos!AG9)</f>
        <v>333</v>
      </c>
      <c r="R9">
        <f>IF(J_V="SI",0,Datos!AH9)</f>
        <v>509</v>
      </c>
      <c r="S9">
        <f>IF(J_V="SI",0,Datos!AI9)</f>
        <v>569</v>
      </c>
      <c r="T9">
        <f>IF(J_V="SI",0,Datos!AJ9)</f>
        <v>262</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0.234375</v>
      </c>
      <c r="F10" s="348">
        <f>IF(ISNUMBER((Datos!K10-Datos!U10)/Datos!U10),(Datos!K10-Datos!U10)/Datos!U10," - ")</f>
        <v>0.36974789915966388</v>
      </c>
      <c r="G10" s="349">
        <f>IF(ISNUMBER((Datos!L10-Datos!V10)/Datos!V10),(Datos!L10-Datos!V10)/Datos!V10," - ")</f>
        <v>0.22500000000000001</v>
      </c>
      <c r="H10" s="230">
        <f>IF(ISNUMBER((Datos!M10-Datos!W10)/Datos!W10),(Datos!M10-Datos!W10)/Datos!W10," - ")</f>
        <v>0.33333333333333331</v>
      </c>
      <c r="I10" s="350">
        <f>IF(ISNUMBER((Tasas!C10-Datos!BE10)/Datos!BE10),(Tasas!C10-Datos!BE10)/Datos!BE10," - ")</f>
        <v>-0.10567484662576698</v>
      </c>
      <c r="J10" s="349">
        <f>IF(ISNUMBER((Tasas!D10-Datos!BF10)/Datos!BF10),(Tasas!D10-Datos!BF10)/Datos!BF10," - ")</f>
        <v>-2.658486707566449E-2</v>
      </c>
      <c r="K10" s="351">
        <f>IF(ISNUMBER((Tasas!E10-Datos!BG10)/Datos!BG10),(Tasas!E10-Datos!BG10)/Datos!BG10," - ")</f>
        <v>-0.20296054483030335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0.24671532846715327</v>
      </c>
      <c r="I13" s="357">
        <f>IF(ISNUMBER((Tasas!C13-Datos!BE13)/Datos!BE13),(Tasas!C13-Datos!BE13)/Datos!BE13," - ")</f>
        <v>-2.7045281298126611E-2</v>
      </c>
      <c r="J13" s="355">
        <f>IF(ISNUMBER((Tasas!D13-Datos!BF13)/Datos!BF13),(Tasas!D13-Datos!BF13)/Datos!BF13," - ")</f>
        <v>-0.36480104524789814</v>
      </c>
      <c r="K13" s="358">
        <f>IF(ISNUMBER((Tasas!E13-Datos!BG13)/Datos!BG13),(Tasas!E13-Datos!BG13)/Datos!BG13," - ")</f>
        <v>-1.5899161438091412E-2</v>
      </c>
      <c r="M13" t="e">
        <f>IF(Monitorios="SI",Datos!CE13,0)</f>
        <v>#REF!</v>
      </c>
      <c r="N13" t="e">
        <f>IF(Monitorios="SI",Datos!CF13,0)</f>
        <v>#REF!</v>
      </c>
      <c r="O13" t="e">
        <f>IF(Monitorios="SI",Datos!CG13,0)</f>
        <v>#REF!</v>
      </c>
      <c r="P13" t="e">
        <f>IF(Monitorios="SI",Datos!CH13,0)</f>
        <v>#REF!</v>
      </c>
      <c r="Q13">
        <f>IF(J_V="SI",0,Datos!AG13)</f>
        <v>333</v>
      </c>
      <c r="R13">
        <f>IF(J_V="SI",0,Datos!AH13)</f>
        <v>509</v>
      </c>
      <c r="S13">
        <f>IF(J_V="SI",0,Datos!AI13)</f>
        <v>569</v>
      </c>
      <c r="T13">
        <f>IF(J_V="SI",0,Datos!AJ13)</f>
        <v>262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0.25228459530026109</v>
      </c>
      <c r="E15" s="348">
        <f>IF(ISNUMBER(
   IF(D_I="SI",(Datos!J15-Datos!T15)/Datos!T15,(Datos!J15+Datos!AD15-(Datos!T15+Datos!AL15))/(Datos!T15+Datos!AL15))
     ),IF(D_I="SI",(Datos!J15-Datos!T15)/Datos!T15,(Datos!J15+Datos!AD15-(Datos!T15+Datos!AL15))/(Datos!T15+Datos!AL15))," - ")</f>
        <v>-1.9309054901529323E-2</v>
      </c>
      <c r="F15" s="348">
        <f>IF(ISNUMBER(
   IF(D_I="SI",(Datos!K15-Datos!U15)/Datos!U15,(Datos!K15+Datos!AE15-(Datos!U15+Datos!AM15))/(Datos!U15+Datos!AM15))
     ),IF(D_I="SI",(Datos!K15-Datos!U15)/Datos!U15,(Datos!K15+Datos!AE15-(Datos!U15+Datos!AM15))/(Datos!U15+Datos!AM15))," - ")</f>
        <v>1.6698118602390347E-2</v>
      </c>
      <c r="G15" s="349">
        <f>IF(ISNUMBER(
   IF(D_I="SI",(Datos!L15-Datos!V15)/Datos!V15,(Datos!L15+Datos!AF15-(Datos!V15+Datos!AN15))/(Datos!V15+Datos!AN15))
     ),IF(D_I="SI",(Datos!L15-Datos!V15)/Datos!V15,(Datos!L15+Datos!AF15-(Datos!V15+Datos!AN15))/(Datos!V15+Datos!AN15))," - ")</f>
        <v>5.1342194422726091E-2</v>
      </c>
      <c r="H15" s="230">
        <f>IF(ISNUMBER((Datos!M15-Datos!W15)/Datos!W15),(Datos!M15-Datos!W15)/Datos!W15," - ")</f>
        <v>2.6434558349451968E-2</v>
      </c>
      <c r="I15" s="350">
        <f>IF(ISNUMBER((Tasas!C15-Datos!BE15)/Datos!BE15),(Tasas!C15-Datos!BE15)/Datos!BE15," - ")</f>
        <v>3.4075085993037359E-2</v>
      </c>
      <c r="J15" s="349">
        <f>IF(ISNUMBER((Tasas!D15-Datos!BF15)/Datos!BF15),(Tasas!D15-Datos!BF15)/Datos!BF15," - ")</f>
        <v>9.5765297180307393E-3</v>
      </c>
      <c r="K15" s="351">
        <f>IF(ISNUMBER((Tasas!E15-Datos!BG15)/Datos!BG15),(Tasas!E15-Datos!BG15)/Datos!BG15," - ")</f>
        <v>3.1161501606842908E-3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0.36036036036036034</v>
      </c>
      <c r="E17" s="348">
        <f>IF(ISNUMBER(
   IF(D_I="SI",(Datos!J17-Datos!T17)/Datos!T17,(Datos!J17+Datos!AD17-(Datos!T17+Datos!AL17))/(Datos!T17+Datos!AL17))
     ),IF(D_I="SI",(Datos!J17-Datos!T17)/Datos!T17,(Datos!J17+Datos!AD17-(Datos!T17+Datos!AL17))/(Datos!T17+Datos!AL17))," - ")</f>
        <v>0.86619160728424383</v>
      </c>
      <c r="F17" s="348">
        <f>IF(ISNUMBER(
   IF(D_I="SI",(Datos!K17-Datos!U17)/Datos!U17,(Datos!K17+Datos!AE17-(Datos!U17+Datos!AM17))/(Datos!U17+Datos!AM17))
     ),IF(D_I="SI",(Datos!K17-Datos!U17)/Datos!U17,(Datos!K17+Datos!AE17-(Datos!U17+Datos!AM17))/(Datos!U17+Datos!AM17))," - ")</f>
        <v>0.33574879227053139</v>
      </c>
      <c r="G17" s="349">
        <f>IF(ISNUMBER(
   IF(D_I="SI",(Datos!L17-Datos!V17)/Datos!V17,(Datos!L17+Datos!AF17-(Datos!V17+Datos!AN17))/(Datos!V17+Datos!AN17))
     ),IF(D_I="SI",(Datos!L17-Datos!V17)/Datos!V17,(Datos!L17+Datos!AF17-(Datos!V17+Datos!AN17))/(Datos!V17+Datos!AN17))," - ")</f>
        <v>2.8344370860927151</v>
      </c>
      <c r="H17" s="230">
        <f>IF(ISNUMBER((Datos!M17-Datos!W17)/Datos!W17),(Datos!M17-Datos!W17)/Datos!W17," - ")</f>
        <v>0.3728813559322034</v>
      </c>
      <c r="I17" s="350">
        <f>IF(ISNUMBER((Tasas!C17-Datos!BE17)/Datos!BE17),(Tasas!C17-Datos!BE17)/Datos!BE17," - ")</f>
        <v>1.8706274026082896</v>
      </c>
      <c r="J17" s="349">
        <f>IF(ISNUMBER((Tasas!D17-Datos!BF17)/Datos!BF17),(Tasas!D17-Datos!BF17)/Datos!BF17," - ")</f>
        <v>2.779906212645961E-2</v>
      </c>
      <c r="K17" s="351">
        <f>IF(ISNUMBER((Tasas!E17-Datos!BG17)/Datos!BG17),(Tasas!E17-Datos!BG17)/Datos!BG17," - ")</f>
        <v>0.36652005338092336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0.25606299212598427</v>
      </c>
      <c r="E18" s="354">
        <f>IF(ISNUMBER(
   IF(D_I="SI",(Datos!J18-Datos!T18)/Datos!T18,(Datos!J18+Datos!AD18-(Datos!T18+Datos!AL18))/(Datos!T18+Datos!AL18))
     ),IF(D_I="SI",(Datos!J18-Datos!T18)/Datos!T18,(Datos!J18+Datos!AD18-(Datos!T18+Datos!AL18))/(Datos!T18+Datos!AL18))," - ")</f>
        <v>3.8218198652332697E-2</v>
      </c>
      <c r="F18" s="354">
        <f>IF(ISNUMBER(
   IF(D_I="SI",(Datos!K18-Datos!U18)/Datos!U18,(Datos!K18+Datos!AE18-(Datos!U18+Datos!AM18))/(Datos!U18+Datos!AM18))
     ),IF(D_I="SI",(Datos!K18-Datos!U18)/Datos!U18,(Datos!K18+Datos!AE18-(Datos!U18+Datos!AM18))/(Datos!U18+Datos!AM18))," - ")</f>
        <v>3.7855731752896575E-2</v>
      </c>
      <c r="G18" s="355">
        <f>IF(ISNUMBER(
   IF(D_I="SI",(Datos!L18-Datos!V18)/Datos!V18,(Datos!L18+Datos!AF18-(Datos!V18+Datos!AN18))/(Datos!V18+Datos!AN18))
     ),IF(D_I="SI",(Datos!L18-Datos!V18)/Datos!V18,(Datos!L18+Datos!AF18-(Datos!V18+Datos!AN18))/(Datos!V18+Datos!AN18))," - ")</f>
        <v>0.15672016048144433</v>
      </c>
      <c r="H18" s="356">
        <f>IF(ISNUMBER((Datos!M18-Datos!W18)/Datos!W18),(Datos!M18-Datos!W18)/Datos!W18," - ")</f>
        <v>5.0928699820251645E-2</v>
      </c>
      <c r="I18" s="357">
        <f>IF(ISNUMBER((Tasas!C18-Datos!BE18)/Datos!BE18),(Tasas!C18-Datos!BE18)/Datos!BE18," - ")</f>
        <v>0.11452885511148113</v>
      </c>
      <c r="J18" s="355">
        <f>IF(ISNUMBER((Tasas!D18-Datos!BF18)/Datos!BF18),(Tasas!D18-Datos!BF18)/Datos!BF18," - ")</f>
        <v>1.2596132263272643E-2</v>
      </c>
      <c r="K18" s="358">
        <f>IF(ISNUMBER((Tasas!E18-Datos!BG18)/Datos!BG18),(Tasas!E18-Datos!BG18)/Datos!BG18," - ")</f>
        <v>2.981639572518377E-2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0.22227860948997716</v>
      </c>
      <c r="E19" s="363">
        <f>IF(ISNUMBER(
   IF(J_V="SI",(Datos!J19-Datos!T19)/Datos!T19,(Datos!J19+Datos!Z19-(Datos!T19+Datos!AH19))/(Datos!T19+Datos!AH19))
     ),IF(J_V="SI",(Datos!J19-Datos!T19)/Datos!T19,(Datos!J19+Datos!Z19-(Datos!T19+Datos!AH19))/(Datos!T19+Datos!AH19))," - ")</f>
        <v>0.10968165408598622</v>
      </c>
      <c r="F19" s="363">
        <f>IF(ISNUMBER(
   IF(J_V="SI",(Datos!K19-Datos!U19)/Datos!U19,(Datos!K19+Datos!AA19-(Datos!U19+Datos!AI19))/(Datos!U19+Datos!AI19))
     ),IF(J_V="SI",(Datos!K19-Datos!U19)/Datos!U19,(Datos!K19+Datos!AA19-(Datos!U19+Datos!AI19))/(Datos!U19+Datos!AI19))," - ")</f>
        <v>0.10600264559722569</v>
      </c>
      <c r="G19" s="364">
        <f>IF(ISNUMBER(
   IF(J_V="SI",(Datos!L19-Datos!V19)/Datos!V19,(Datos!L19+Datos!AB19-(Datos!V19+Datos!AJ19))/(Datos!V19+Datos!AJ19))
     ),IF(J_V="SI",(Datos!L19-Datos!V19)/Datos!V19,(Datos!L19+Datos!AB19-(Datos!V19+Datos!AJ19))/(Datos!V19+Datos!AJ19))," - ")</f>
        <v>0.19562660023527784</v>
      </c>
      <c r="H19" s="365">
        <f>IF(ISNUMBER((Datos!M19-Datos!W19)/Datos!W19),(Datos!M19-Datos!W19)/Datos!W19," - ")</f>
        <v>0.15896885069817401</v>
      </c>
      <c r="I19" s="362">
        <f>IF(ISNUMBER((Tasas!C19-Datos!BE19)/Datos!BE19),(Tasas!C19-Datos!BE19)/Datos!BE19," - ")</f>
        <v>8.1034123195660598E-2</v>
      </c>
      <c r="J19" s="363">
        <f>IF(ISNUMBER((Tasas!D19-Datos!BF19)/Datos!BF19),(Tasas!D19-Datos!BF19)/Datos!BF19," - ")</f>
        <v>-0.20538760350583818</v>
      </c>
      <c r="K19" s="364">
        <f>IF(ISNUMBER((Tasas!E19-Datos!BG19)/Datos!BG19),(Tasas!E19-Datos!BG19)/Datos!BG19," - ")</f>
        <v>3.1786059295689686E-2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0.20650488255611443</v>
      </c>
      <c r="E21" s="278">
        <f t="shared" si="1"/>
        <v>0.40568728604480997</v>
      </c>
      <c r="F21" s="278">
        <f t="shared" si="1"/>
        <v>0.18862081673595035</v>
      </c>
      <c r="G21" s="279">
        <f t="shared" si="1"/>
        <v>1.3469369789041721</v>
      </c>
      <c r="H21" s="285">
        <f t="shared" si="1"/>
        <v>0.14372650860006525</v>
      </c>
      <c r="I21" s="277">
        <f t="shared" si="1"/>
        <v>0.76799518976694792</v>
      </c>
      <c r="J21" s="278">
        <f t="shared" si="1"/>
        <v>0.19328296653504282</v>
      </c>
      <c r="K21" s="279">
        <f t="shared" si="1"/>
        <v>0.18558154871980509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yjmtirnqI4DK/MWGouO1CKrcAaIK+1xczvrKe5fdYbc5Fef8Z1IfUFEKqfJwMdkHq8YoVKwNeSvKOZA5iVvMQ==" saltValue="QCmrakw7AG+cCuk0e6Xe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12.195588883987648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103</v>
      </c>
      <c r="D10" s="225">
        <f>IF(ISNUMBER(Datos!I10),Datos!I10," - ")</f>
        <v>80</v>
      </c>
      <c r="E10" s="226">
        <f>IF(ISNUMBER(Datos!J10),Datos!J10," - ")</f>
        <v>158</v>
      </c>
      <c r="F10" s="226">
        <f>IF(ISNUMBER(Datos!K10),Datos!K10," - ")</f>
        <v>163</v>
      </c>
      <c r="G10" s="1034" t="str">
        <f>IF(Datos!E10&lt;&gt;"",Datos!E10,Datos!D10)</f>
        <v>37</v>
      </c>
      <c r="H10" s="227">
        <f>IF(ISNUMBER(Datos!L10),Datos!L10," - ")</f>
        <v>98</v>
      </c>
      <c r="I10" s="1044" t="str">
        <f>IF(ISNUMBER(Datos!AS10/Datos!BM10),Datos!AS10/Datos!BM10," - ")</f>
        <v xml:space="preserve"> - </v>
      </c>
      <c r="J10" s="1045">
        <f>IF(ISNUMBER(Datos!BY10/Datos!CN10),Datos!BY10/Datos!CN10," - ")</f>
        <v>0</v>
      </c>
      <c r="K10" s="230">
        <f t="shared" ref="K10:K12" si="1">IF(ISNUMBER((E10-F10)/C10),(E10-F10)/C10," - ")</f>
        <v>-4.8543689320388349E-2</v>
      </c>
      <c r="L10" s="1025">
        <f>IF(ISNUMBER(NºAsuntos!I10/NºAsuntos!G10),(NºAsuntos!I10/NºAsuntos!G10)*11," - ")</f>
        <v>6.6134969325153374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103</v>
      </c>
      <c r="D13" s="1049">
        <f>SUBTOTAL(9,D9:D12)</f>
        <v>80</v>
      </c>
      <c r="E13" s="1050">
        <f>SUBTOTAL(9,E9:E12)</f>
        <v>158</v>
      </c>
      <c r="F13" s="1051">
        <f>SUBTOTAL(9,F9:F12)</f>
        <v>163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3986</v>
      </c>
      <c r="D15" s="225">
        <f>IF(ISNUMBER(IF(D_I="SI",Datos!I15,Datos!I15+Datos!AC15)),IF(D_I="SI",Datos!I15,Datos!I15+Datos!AC15)," - ")</f>
        <v>3837</v>
      </c>
      <c r="E15" s="226">
        <f>IF(ISNUMBER(IF(D_I="SI",Datos!J15,Datos!J15+Datos!AD15)),IF(D_I="SI",Datos!J15,Datos!J15+Datos!AD15)," - ")</f>
        <v>17827</v>
      </c>
      <c r="F15" s="226">
        <f>IF(ISNUMBER(IF(D_I="SI",Datos!K15,Datos!K15+Datos!AE15)),IF(D_I="SI",Datos!K15,Datos!K15+Datos!AE15)," - ")</f>
        <v>17779</v>
      </c>
      <c r="G15" s="1034" t="str">
        <f>IF(Datos!E15&lt;&gt;"",Datos!E15,Datos!D15)</f>
        <v>03</v>
      </c>
      <c r="H15" s="227">
        <f>IF(ISNUMBER(IF(D_I="SI",Datos!L15,Datos!L15+Datos!AF15)),IF(D_I="SI",Datos!L15,Datos!L15+Datos!AF15)," - ")</f>
        <v>4034</v>
      </c>
      <c r="I15" s="1044" t="str">
        <f>IF(ISNUMBER(Datos!AS15/Datos!BM15),Datos!AS15/Datos!BM15," - ")</f>
        <v xml:space="preserve"> - </v>
      </c>
      <c r="J15" s="1045">
        <f>IF(ISNUMBER(Datos!BY15/Datos!CN15),Datos!BY15/Datos!CN15," - ")</f>
        <v>0</v>
      </c>
      <c r="K15" s="230">
        <f t="shared" ref="K15:K17" si="3">IF(ISNUMBER((E15-F15)/C15),(E15-F15)/C15," - ")</f>
        <v>1.2042147516307075E-2</v>
      </c>
      <c r="L15" s="1025">
        <f>IF(ISNUMBER(NºAsuntos!I15/NºAsuntos!G15),(NºAsuntos!I15/NºAsuntos!G15)*11," - ")</f>
        <v>2.495865909218741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-119</v>
      </c>
      <c r="D17" s="225">
        <f>IF(ISNUMBER(IF(D_I="SI",Datos!I17,Datos!I17+Datos!AC17)),IF(D_I="SI",Datos!I17,Datos!I17+Datos!AC17)," - ")</f>
        <v>151</v>
      </c>
      <c r="E17" s="226">
        <f>IF(ISNUMBER(IF(D_I="SI",Datos!J17,Datos!J17+Datos!AD17)),IF(D_I="SI",Datos!J17,Datos!J17+Datos!AD17)," - ")</f>
        <v>2357</v>
      </c>
      <c r="F17" s="226">
        <f>IF(ISNUMBER(IF(D_I="SI",Datos!K17,Datos!K17+Datos!AE17)),IF(D_I="SI",Datos!K17,Datos!K17+Datos!AE17)," - ")</f>
        <v>1659</v>
      </c>
      <c r="G17" s="1034" t="str">
        <f>IF(Datos!E17&lt;&gt;"",Datos!E17,Datos!D17)</f>
        <v>37</v>
      </c>
      <c r="H17" s="227">
        <f>IF(ISNUMBER(IF(D_I="SI",Datos!L17,Datos!L17+Datos!AF17)),IF(D_I="SI",Datos!L17,Datos!L17+Datos!AF17)," - ")</f>
        <v>579</v>
      </c>
      <c r="I17" s="1044" t="str">
        <f>IF(ISNUMBER(Datos!AS17/Datos!BM17),Datos!AS17/Datos!BM17," - ")</f>
        <v xml:space="preserve"> - </v>
      </c>
      <c r="J17" s="1045" t="str">
        <f>IF(ISNUMBER((Datos!BY17+Datos!BZ17)/Datos!CN17),(Datos!BY17+Datos!BZ17)/Datos!CN17," - ")</f>
        <v xml:space="preserve"> - </v>
      </c>
      <c r="K17" s="230">
        <f t="shared" si="3"/>
        <v>-5.8655462184873945</v>
      </c>
      <c r="L17" s="1025">
        <f>IF(ISNUMBER(NºAsuntos!I17/NºAsuntos!G17),(NºAsuntos!I17/NºAsuntos!G17)*11," - ")</f>
        <v>3.8390596745027121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3867</v>
      </c>
      <c r="D18" s="1049">
        <f>SUBTOTAL(9,D15:D17)</f>
        <v>3988</v>
      </c>
      <c r="E18" s="1050">
        <f>SUBTOTAL(9,E15:E17)</f>
        <v>20184</v>
      </c>
      <c r="F18" s="1050">
        <f>SUBTOTAL(9,F15:F17)</f>
        <v>19438</v>
      </c>
      <c r="G18" s="1052" t="str">
        <f ca="1">INDIRECT(CONCATENATE("G",ROW()-1))</f>
        <v>37</v>
      </c>
      <c r="H18" s="1053">
        <f ca="1">SUMIF(G$14:G17,G18,H$14:H17)</f>
        <v>579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3970</v>
      </c>
      <c r="D19" s="1071">
        <f>SUBTOTAL(9,D9:D18)</f>
        <v>4068</v>
      </c>
      <c r="E19" s="1072">
        <f>SUBTOTAL(9,E9:E18)</f>
        <v>20342</v>
      </c>
      <c r="F19" s="1072">
        <f>SUBTOTAL(9,F9:F18)</f>
        <v>19601</v>
      </c>
      <c r="G19" s="1073"/>
      <c r="H19" s="1074">
        <f ca="1">SUMIF(B9:B18,"TOTAL",H9:H18)</f>
        <v>579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RGyBTcz8znDHnoAsHqzsjRhTMjMTXUJLWfwOltIVdjcvG6W0FLxGP/TeftXuHsQQT185iyDePGRow5A+1nS2Q==" saltValue="zYJWUXyXnjexqtSaKdw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WcE2mWdwpUgJDCDoh8zLb8KEPnX2VtIG60bvXeBhUwLofnZwOjKwMVwa8kXgOJmwZ5y124cDOSM2ZNbafprcA==" saltValue="/D7OOIHzrM9Deux5ZDb22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10121</v>
      </c>
      <c r="J9" s="181">
        <v>12890</v>
      </c>
      <c r="K9" s="181">
        <v>10774</v>
      </c>
      <c r="L9" s="181">
        <v>12278</v>
      </c>
      <c r="M9" s="181">
        <v>2514</v>
      </c>
      <c r="N9" s="181">
        <v>4362</v>
      </c>
      <c r="O9" s="181">
        <v>5679</v>
      </c>
      <c r="P9" s="181">
        <v>2828</v>
      </c>
      <c r="Q9" s="181">
        <v>2775</v>
      </c>
      <c r="R9" s="181">
        <v>10469</v>
      </c>
      <c r="S9" s="181">
        <v>8225</v>
      </c>
      <c r="T9" s="181">
        <v>10392</v>
      </c>
      <c r="U9" s="181">
        <v>8554</v>
      </c>
      <c r="V9" s="181">
        <v>10121</v>
      </c>
      <c r="W9" s="181">
        <v>2019</v>
      </c>
      <c r="X9" s="188">
        <v>3206</v>
      </c>
      <c r="Y9" s="191">
        <v>262</v>
      </c>
      <c r="Z9" s="181">
        <v>580</v>
      </c>
      <c r="AA9" s="181">
        <v>561</v>
      </c>
      <c r="AB9" s="181">
        <v>289</v>
      </c>
      <c r="AC9" s="181">
        <v>0</v>
      </c>
      <c r="AD9" s="181">
        <v>0</v>
      </c>
      <c r="AE9" s="181">
        <v>0</v>
      </c>
      <c r="AF9" s="188">
        <v>0</v>
      </c>
      <c r="AG9" s="191">
        <v>333</v>
      </c>
      <c r="AH9" s="181">
        <v>509</v>
      </c>
      <c r="AI9" s="181">
        <v>569</v>
      </c>
      <c r="AJ9" s="192">
        <v>262</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8558</v>
      </c>
      <c r="AZ9" s="123">
        <f>IF(ISNUMBER(IF(J_V="SI",T9,T9+AH9)),IF(J_V="SI",T9,T9+AH9)," - ")</f>
        <v>10901</v>
      </c>
      <c r="BA9" s="124">
        <f>IF(ISNUMBER(IF(J_V="SI",U9,U9+AI9)),IF(J_V="SI",U9,U9+AI9)," - ")</f>
        <v>9123</v>
      </c>
      <c r="BB9" s="124">
        <f>IF(ISNUMBER(IF(J_V="SI",V9,V9+AJ9)),IF(J_V="SI",V9,V9+AJ9)," - ")</f>
        <v>10383</v>
      </c>
      <c r="BC9" s="125">
        <f>IF(ISNUMBER(X9),X9," - ")</f>
        <v>3206</v>
      </c>
      <c r="BD9" s="126">
        <f>IF(ISNUMBER(BA9/AZ9),BA9/AZ9," - ")</f>
        <v>0.83689569764241811</v>
      </c>
      <c r="BE9" s="127">
        <f>IF(ISNUMBER(BB9/BA9),BB9/BA9, " - ")</f>
        <v>1.1381124630055903</v>
      </c>
      <c r="BF9" s="127">
        <f>IF(ISNUMBER(BC9/BA9),BC9/BA9, " - ")</f>
        <v>0.351419489203113</v>
      </c>
      <c r="BG9" s="196">
        <f>IF(ISNUMBER((AY9+AZ9)/BA9),(AY9+AZ9)/BA9," - ")</f>
        <v>2.13296064890935</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80</v>
      </c>
      <c r="J10" s="181">
        <v>158</v>
      </c>
      <c r="K10" s="181">
        <v>163</v>
      </c>
      <c r="L10" s="181">
        <v>98</v>
      </c>
      <c r="M10" s="181">
        <v>48</v>
      </c>
      <c r="N10" s="181">
        <v>57</v>
      </c>
      <c r="O10" s="181">
        <v>42</v>
      </c>
      <c r="P10" s="181">
        <v>39</v>
      </c>
      <c r="Q10" s="181">
        <v>129</v>
      </c>
      <c r="R10" s="181">
        <v>49</v>
      </c>
      <c r="S10" s="181">
        <v>90</v>
      </c>
      <c r="T10" s="181">
        <v>128</v>
      </c>
      <c r="U10" s="181">
        <v>119</v>
      </c>
      <c r="V10" s="181">
        <v>80</v>
      </c>
      <c r="W10" s="181">
        <v>36</v>
      </c>
      <c r="X10" s="188">
        <v>64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90</v>
      </c>
      <c r="AZ10" s="129">
        <f t="shared" si="0"/>
        <v>128</v>
      </c>
      <c r="BA10" s="129">
        <f t="shared" si="0"/>
        <v>119</v>
      </c>
      <c r="BB10" s="129">
        <f t="shared" si="0"/>
        <v>80</v>
      </c>
      <c r="BC10" s="125">
        <f t="shared" si="0"/>
        <v>36</v>
      </c>
      <c r="BD10" s="126">
        <f>IF(ISNUMBER(BA10/AZ10),BA10/AZ10," - ")</f>
        <v>0.9296875</v>
      </c>
      <c r="BE10" s="127">
        <f>IF(ISNUMBER(BB10/BA10),BB10/BA10, " - ")</f>
        <v>0.67226890756302526</v>
      </c>
      <c r="BF10" s="127">
        <f>IF(ISNUMBER(BC10/BA10),BC10/BA10, " - ")</f>
        <v>0.30252100840336132</v>
      </c>
      <c r="BG10" s="196">
        <f>IF(ISNUMBER((AY10+AZ10)/BA10),(AY10+AZ10)/BA10," - ")</f>
        <v>1.8319327731092436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10201</v>
      </c>
      <c r="J13" s="184">
        <f t="shared" si="6"/>
        <v>13048</v>
      </c>
      <c r="K13" s="184">
        <f t="shared" si="6"/>
        <v>10937</v>
      </c>
      <c r="L13" s="184">
        <f t="shared" si="6"/>
        <v>12376</v>
      </c>
      <c r="M13" s="184">
        <f t="shared" si="6"/>
        <v>2562</v>
      </c>
      <c r="N13" s="184">
        <f t="shared" si="6"/>
        <v>4419</v>
      </c>
      <c r="O13" s="184">
        <f t="shared" si="6"/>
        <v>5721</v>
      </c>
      <c r="P13" s="184">
        <f t="shared" si="6"/>
        <v>2867</v>
      </c>
      <c r="Q13" s="184">
        <f t="shared" si="6"/>
        <v>2904</v>
      </c>
      <c r="R13" s="184">
        <f t="shared" si="6"/>
        <v>10518</v>
      </c>
      <c r="S13" s="184">
        <f t="shared" si="6"/>
        <v>8315</v>
      </c>
      <c r="T13" s="184">
        <f t="shared" si="6"/>
        <v>10520</v>
      </c>
      <c r="U13" s="184">
        <f t="shared" si="6"/>
        <v>8673</v>
      </c>
      <c r="V13" s="184">
        <f t="shared" si="6"/>
        <v>10201</v>
      </c>
      <c r="W13" s="184">
        <f t="shared" si="6"/>
        <v>2055</v>
      </c>
      <c r="X13" s="184">
        <f t="shared" si="6"/>
        <v>3270</v>
      </c>
      <c r="Y13" s="184">
        <f t="shared" si="6"/>
        <v>262</v>
      </c>
      <c r="Z13" s="184">
        <f t="shared" si="6"/>
        <v>580</v>
      </c>
      <c r="AA13" s="184">
        <f t="shared" si="6"/>
        <v>561</v>
      </c>
      <c r="AB13" s="184">
        <f t="shared" si="6"/>
        <v>289</v>
      </c>
      <c r="AC13" s="184">
        <f t="shared" si="6"/>
        <v>0</v>
      </c>
      <c r="AD13" s="184">
        <f t="shared" si="6"/>
        <v>0</v>
      </c>
      <c r="AE13" s="184">
        <f t="shared" si="6"/>
        <v>0</v>
      </c>
      <c r="AF13" s="184">
        <f>SUBTOTAL(9,AF9:AF12)</f>
        <v>0</v>
      </c>
      <c r="AG13" s="184">
        <f t="shared" ref="AG13:AT13" si="7">SUBTOTAL(9,AG8:AG12)</f>
        <v>333</v>
      </c>
      <c r="AH13" s="184">
        <f t="shared" si="7"/>
        <v>509</v>
      </c>
      <c r="AI13" s="184">
        <f t="shared" si="7"/>
        <v>569</v>
      </c>
      <c r="AJ13" s="184">
        <f t="shared" si="7"/>
        <v>262</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8648</v>
      </c>
      <c r="AZ13" s="184">
        <f>SUBTOTAL(9,AZ8:AZ12)</f>
        <v>11029</v>
      </c>
      <c r="BA13" s="184">
        <f>SUBTOTAL(9,BA8:BA12)</f>
        <v>9242</v>
      </c>
      <c r="BB13" s="184">
        <f>SUBTOTAL(9,BB8:BB12)</f>
        <v>10463</v>
      </c>
      <c r="BC13" s="184">
        <f>SUBTOTAL(9,BC8:BC12)</f>
        <v>3242</v>
      </c>
      <c r="BD13" s="205">
        <f>IF(ISNUMBER(BA13/AZ13),BA13/AZ13," - ")</f>
        <v>0.83797261764439201</v>
      </c>
      <c r="BE13" s="206">
        <f>IF(ISNUMBER(BB13/BA13),BB13/BA13, " - ")</f>
        <v>1.1321142609824713</v>
      </c>
      <c r="BF13" s="206">
        <f>IF(ISNUMBER(BC13/BA13),BC13/BA13, " - ")</f>
        <v>0.3507898723220082</v>
      </c>
      <c r="BG13" s="207">
        <f>IF(ISNUMBER((AY13+AZ13)/BA13),(AY13+AZ13)/BA13," - ")</f>
        <v>2.1290846137199742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3837</v>
      </c>
      <c r="J15" s="183">
        <v>17827</v>
      </c>
      <c r="K15" s="183">
        <v>17779</v>
      </c>
      <c r="L15" s="183">
        <v>4034</v>
      </c>
      <c r="M15" s="183">
        <v>1592</v>
      </c>
      <c r="N15" s="183">
        <v>12504</v>
      </c>
      <c r="O15" s="181">
        <v>268</v>
      </c>
      <c r="P15" s="183">
        <v>397</v>
      </c>
      <c r="Q15" s="183">
        <v>390</v>
      </c>
      <c r="R15" s="183">
        <v>348</v>
      </c>
      <c r="S15" s="183">
        <v>3064</v>
      </c>
      <c r="T15" s="183">
        <v>18178</v>
      </c>
      <c r="U15" s="183">
        <v>17487</v>
      </c>
      <c r="V15" s="183">
        <v>3837</v>
      </c>
      <c r="W15" s="183">
        <v>1551</v>
      </c>
      <c r="X15" s="189">
        <v>12540</v>
      </c>
      <c r="Y15" s="202">
        <v>0</v>
      </c>
      <c r="Z15" s="183">
        <v>0</v>
      </c>
      <c r="AA15" s="183">
        <v>0</v>
      </c>
      <c r="AB15" s="183">
        <v>0</v>
      </c>
      <c r="AC15" s="183">
        <v>0</v>
      </c>
      <c r="AD15" s="183">
        <v>196</v>
      </c>
      <c r="AE15" s="183">
        <v>196</v>
      </c>
      <c r="AF15" s="189">
        <v>0</v>
      </c>
      <c r="AG15" s="202">
        <v>0</v>
      </c>
      <c r="AH15" s="183">
        <v>0</v>
      </c>
      <c r="AI15" s="183">
        <v>0</v>
      </c>
      <c r="AJ15" s="203">
        <v>0</v>
      </c>
      <c r="AK15" s="182">
        <v>0</v>
      </c>
      <c r="AL15" s="183">
        <v>155</v>
      </c>
      <c r="AM15" s="183">
        <v>155</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3064</v>
      </c>
      <c r="AZ15" s="129">
        <f t="shared" si="9"/>
        <v>18178</v>
      </c>
      <c r="BA15" s="129">
        <f t="shared" si="9"/>
        <v>17487</v>
      </c>
      <c r="BB15" s="129">
        <f t="shared" si="9"/>
        <v>3837</v>
      </c>
      <c r="BC15" s="125">
        <f>IF(ISNUMBER(W15),W15," - ")</f>
        <v>1551</v>
      </c>
      <c r="BD15" s="126">
        <f>IF(ISNUMBER(BA15/AZ15),BA15/AZ15," - ")</f>
        <v>0.96198701727362745</v>
      </c>
      <c r="BE15" s="127">
        <f>IF(ISNUMBER(BB15/BA15),BB15/BA15, " - ")</f>
        <v>0.21942014067593069</v>
      </c>
      <c r="BF15" s="127">
        <f>IF(ISNUMBER(BC15/BA15),BC15/BA15, " - ")</f>
        <v>8.8694458740778859E-2</v>
      </c>
      <c r="BG15" s="196">
        <f t="shared" ref="BG15:BG16" si="10">IF(ISNUMBER((AY15+AZ15)/BA15),(AY15+AZ15)/BA15," - ")</f>
        <v>1.2147309429862183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2357</v>
      </c>
      <c r="K17" s="183">
        <v>1659</v>
      </c>
      <c r="L17" s="183">
        <v>579</v>
      </c>
      <c r="M17" s="183">
        <v>162</v>
      </c>
      <c r="N17" s="183">
        <v>884</v>
      </c>
      <c r="O17" s="183">
        <v>4</v>
      </c>
      <c r="P17" s="183">
        <v>80</v>
      </c>
      <c r="Q17" s="183">
        <v>28</v>
      </c>
      <c r="R17" s="183">
        <v>55</v>
      </c>
      <c r="S17" s="183">
        <v>111</v>
      </c>
      <c r="T17" s="183">
        <v>1263</v>
      </c>
      <c r="U17" s="183">
        <v>1242</v>
      </c>
      <c r="V17" s="183">
        <v>151</v>
      </c>
      <c r="W17" s="183">
        <v>118</v>
      </c>
      <c r="X17" s="189">
        <v>555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111</v>
      </c>
      <c r="AZ17" s="129">
        <f t="shared" si="14"/>
        <v>1263</v>
      </c>
      <c r="BA17" s="129">
        <f t="shared" si="14"/>
        <v>1242</v>
      </c>
      <c r="BB17" s="129">
        <f t="shared" si="14"/>
        <v>151</v>
      </c>
      <c r="BC17" s="125">
        <f>IF(ISNUMBER(W17),W17," - ")</f>
        <v>118</v>
      </c>
      <c r="BD17" s="126">
        <f>IF(ISNUMBER(BA17/AZ17),BA17/AZ17," - ")</f>
        <v>0.98337292161520184</v>
      </c>
      <c r="BE17" s="127">
        <f>IF(ISNUMBER(BB17/BA17),BB17/BA17, " - ")</f>
        <v>0.1215780998389694</v>
      </c>
      <c r="BF17" s="127">
        <f>IF(ISNUMBER(BC17/BA17),BC17/BA17, " - ")</f>
        <v>9.5008051529790666E-2</v>
      </c>
      <c r="BG17" s="196">
        <f>IF(ISNUMBER((AY17+AZ17)/BA17),(AY17+AZ17)/BA17," - ")</f>
        <v>1.106280193236715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3988</v>
      </c>
      <c r="J18" s="184">
        <f t="shared" si="15"/>
        <v>20184</v>
      </c>
      <c r="K18" s="184">
        <f t="shared" si="15"/>
        <v>19438</v>
      </c>
      <c r="L18" s="184">
        <f t="shared" si="15"/>
        <v>4613</v>
      </c>
      <c r="M18" s="184">
        <f t="shared" si="15"/>
        <v>1754</v>
      </c>
      <c r="N18" s="184">
        <f t="shared" si="15"/>
        <v>13388</v>
      </c>
      <c r="O18" s="184">
        <f t="shared" si="15"/>
        <v>272</v>
      </c>
      <c r="P18" s="184">
        <f t="shared" si="15"/>
        <v>477</v>
      </c>
      <c r="Q18" s="184">
        <f t="shared" si="15"/>
        <v>418</v>
      </c>
      <c r="R18" s="184">
        <f t="shared" si="15"/>
        <v>403</v>
      </c>
      <c r="S18" s="184">
        <f t="shared" si="15"/>
        <v>3175</v>
      </c>
      <c r="T18" s="184">
        <f t="shared" si="15"/>
        <v>19441</v>
      </c>
      <c r="U18" s="184">
        <f t="shared" si="15"/>
        <v>18729</v>
      </c>
      <c r="V18" s="184">
        <f t="shared" si="15"/>
        <v>3988</v>
      </c>
      <c r="W18" s="184">
        <f t="shared" si="15"/>
        <v>1669</v>
      </c>
      <c r="X18" s="184">
        <f t="shared" si="15"/>
        <v>13095</v>
      </c>
      <c r="Y18" s="184">
        <f t="shared" si="15"/>
        <v>0</v>
      </c>
      <c r="Z18" s="184">
        <f t="shared" si="15"/>
        <v>0</v>
      </c>
      <c r="AA18" s="184">
        <f t="shared" si="15"/>
        <v>0</v>
      </c>
      <c r="AB18" s="184">
        <f t="shared" si="15"/>
        <v>0</v>
      </c>
      <c r="AC18" s="184">
        <f t="shared" si="15"/>
        <v>0</v>
      </c>
      <c r="AD18" s="184">
        <f t="shared" si="15"/>
        <v>196</v>
      </c>
      <c r="AE18" s="184">
        <f t="shared" si="15"/>
        <v>196</v>
      </c>
      <c r="AF18" s="184">
        <f t="shared" si="15"/>
        <v>0</v>
      </c>
      <c r="AG18" s="184">
        <f t="shared" si="15"/>
        <v>0</v>
      </c>
      <c r="AH18" s="184">
        <f t="shared" si="15"/>
        <v>0</v>
      </c>
      <c r="AI18" s="184">
        <f t="shared" si="15"/>
        <v>0</v>
      </c>
      <c r="AJ18" s="184">
        <f t="shared" si="15"/>
        <v>0</v>
      </c>
      <c r="AK18" s="184">
        <f t="shared" si="15"/>
        <v>0</v>
      </c>
      <c r="AL18" s="184">
        <f t="shared" si="15"/>
        <v>155</v>
      </c>
      <c r="AM18" s="184">
        <f t="shared" si="15"/>
        <v>155</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3175</v>
      </c>
      <c r="AZ18" s="184">
        <f>SUBTOTAL(9,AZ14:AZ17)</f>
        <v>19441</v>
      </c>
      <c r="BA18" s="184">
        <f>SUBTOTAL(9,BA14:BA17)</f>
        <v>18729</v>
      </c>
      <c r="BB18" s="184">
        <f>SUBTOTAL(9,BB14:BB17)</f>
        <v>3988</v>
      </c>
      <c r="BC18" s="184">
        <f>SUBTOTAL(9,BC14:BC17)</f>
        <v>1669</v>
      </c>
      <c r="BD18" s="205">
        <f>IF(ISNUMBER(BA18/AZ18),BA18/AZ18," - ")</f>
        <v>0.9633763695283164</v>
      </c>
      <c r="BE18" s="206">
        <f>IF(ISNUMBER(BB18/BA18),BB18/BA18, " - ")</f>
        <v>0.21293181696833788</v>
      </c>
      <c r="BF18" s="206">
        <f>IF(ISNUMBER(BC18/BA18),BC18/BA18, " - ")</f>
        <v>8.911314005018954E-2</v>
      </c>
      <c r="BG18" s="207">
        <f>IF(ISNUMBER((AY18+AZ18)/BA18),(AY18+AZ18)/BA18," - ")</f>
        <v>1.2075391104703934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14189</v>
      </c>
      <c r="J19" s="134">
        <f t="shared" si="18"/>
        <v>33232</v>
      </c>
      <c r="K19" s="134">
        <f t="shared" si="18"/>
        <v>30375</v>
      </c>
      <c r="L19" s="134">
        <f t="shared" si="18"/>
        <v>16989</v>
      </c>
      <c r="M19" s="134">
        <f t="shared" si="18"/>
        <v>4316</v>
      </c>
      <c r="N19" s="134">
        <f t="shared" si="18"/>
        <v>17807</v>
      </c>
      <c r="O19" s="134">
        <f t="shared" si="18"/>
        <v>5993</v>
      </c>
      <c r="P19" s="134">
        <f t="shared" si="18"/>
        <v>3344</v>
      </c>
      <c r="Q19" s="134">
        <f t="shared" si="18"/>
        <v>3322</v>
      </c>
      <c r="R19" s="134">
        <f t="shared" si="18"/>
        <v>10921</v>
      </c>
      <c r="S19" s="134">
        <f t="shared" si="18"/>
        <v>11490</v>
      </c>
      <c r="T19" s="134">
        <f t="shared" si="18"/>
        <v>29961</v>
      </c>
      <c r="U19" s="134">
        <f t="shared" si="18"/>
        <v>27402</v>
      </c>
      <c r="V19" s="134">
        <f t="shared" si="18"/>
        <v>14189</v>
      </c>
      <c r="W19" s="134">
        <f t="shared" si="18"/>
        <v>3724</v>
      </c>
      <c r="X19" s="134">
        <f t="shared" si="18"/>
        <v>16365</v>
      </c>
      <c r="Y19" s="134">
        <f t="shared" si="18"/>
        <v>262</v>
      </c>
      <c r="Z19" s="134">
        <f t="shared" si="18"/>
        <v>580</v>
      </c>
      <c r="AA19" s="134">
        <f t="shared" si="18"/>
        <v>561</v>
      </c>
      <c r="AB19" s="134">
        <f t="shared" si="18"/>
        <v>289</v>
      </c>
      <c r="AC19" s="134">
        <f t="shared" si="18"/>
        <v>0</v>
      </c>
      <c r="AD19" s="134">
        <f t="shared" si="18"/>
        <v>196</v>
      </c>
      <c r="AE19" s="134">
        <f t="shared" si="18"/>
        <v>196</v>
      </c>
      <c r="AF19" s="134">
        <f t="shared" si="18"/>
        <v>0</v>
      </c>
      <c r="AG19" s="134">
        <f t="shared" si="18"/>
        <v>333</v>
      </c>
      <c r="AH19" s="134">
        <f t="shared" si="18"/>
        <v>509</v>
      </c>
      <c r="AI19" s="134">
        <f t="shared" si="18"/>
        <v>569</v>
      </c>
      <c r="AJ19" s="134">
        <f t="shared" si="18"/>
        <v>262</v>
      </c>
      <c r="AK19" s="134">
        <f t="shared" si="18"/>
        <v>0</v>
      </c>
      <c r="AL19" s="134">
        <f t="shared" si="18"/>
        <v>155</v>
      </c>
      <c r="AM19" s="134">
        <f t="shared" si="18"/>
        <v>155</v>
      </c>
      <c r="AN19" s="210">
        <f t="shared" si="18"/>
        <v>0</v>
      </c>
      <c r="AO19" s="211">
        <v>14</v>
      </c>
      <c r="AP19" s="211">
        <v>14</v>
      </c>
      <c r="AQ19" s="211">
        <v>14</v>
      </c>
      <c r="AR19" s="211">
        <v>14</v>
      </c>
      <c r="AS19" s="153">
        <f t="shared" si="18"/>
        <v>0</v>
      </c>
      <c r="AT19" s="153">
        <f t="shared" si="18"/>
        <v>0</v>
      </c>
      <c r="AU19" s="211"/>
      <c r="AV19" s="212"/>
      <c r="AW19" s="211"/>
      <c r="AX19" s="212"/>
      <c r="AY19" s="133">
        <f>SUBTOTAL(9,AY9:AY18)</f>
        <v>11823</v>
      </c>
      <c r="AZ19" s="134">
        <f>SUBTOTAL(9,AZ9:AZ18)</f>
        <v>30470</v>
      </c>
      <c r="BA19" s="134">
        <f>SUBTOTAL(9,BA9:BA18)</f>
        <v>27971</v>
      </c>
      <c r="BB19" s="134">
        <f>SUBTOTAL(9,BB9:BB18)</f>
        <v>14451</v>
      </c>
      <c r="BC19" s="135">
        <f>SUBTOTAL(9,BC9:BC18)</f>
        <v>4911</v>
      </c>
      <c r="BD19" s="213">
        <f>IF(ISNUMBER(BA19/AZ19),BA19/AZ19," - ")</f>
        <v>0.91798490318345916</v>
      </c>
      <c r="BE19" s="210">
        <f>IF(ISNUMBER(BB19/BA19),BB19/BA19, " - ")</f>
        <v>0.5166422366021951</v>
      </c>
      <c r="BF19" s="210">
        <f>IF(ISNUMBER(BC19/BA19),BC19/BA19, " - ")</f>
        <v>0.17557470237031211</v>
      </c>
      <c r="BG19" s="135">
        <f>IF(ISNUMBER((AY19+AZ19)/BA19),(AY19+AZ19)/BA19," - ")</f>
        <v>1.512030317114154</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qJgG4wEI49SuvDuz2DZ7gxVa938NAWzfrAg+iC3Hc5xgHMQxVwqal61f2NE6KUNODy8cd9wVhDyM8WnNybXtw==" saltValue="OmA8SzgobrT2Vzej+ROw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KfLefQwbsaj2vMikPEzZNYM7Y9TgdJ8RPlG3TVtZ5Wd4dBBbDT5GEwFRFvBIM6sPCWPKOLHosE5FBXKr3Cg==" saltValue="jGGbL16hzO6pHdR6uB42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MARBELLA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580</v>
      </c>
      <c r="O9" s="334"/>
      <c r="P9" s="334"/>
      <c r="Q9" s="226">
        <f>IF(ISNUMBER(Datos!P9),Datos!P9,0)</f>
        <v>2828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2775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289</v>
      </c>
      <c r="AI9" s="334" t="str">
        <f>IF(ISNUMBER(Datos!CD9),Datos!CD9,"-")</f>
        <v>-</v>
      </c>
      <c r="AJ9" s="334" t="str">
        <f>IF(ISNUMBER(Datos!EN9),Datos!EN9," - ")</f>
        <v xml:space="preserve"> - </v>
      </c>
      <c r="AK9" s="334"/>
      <c r="AL9" s="479"/>
      <c r="AM9" s="335">
        <f>IF(ISNUMBER(Datos!R9),Datos!R9," - ")</f>
        <v>10469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2514</v>
      </c>
      <c r="BD9" s="229">
        <f>IF(ISNUMBER(Datos!N9),Datos!N9," - ")</f>
        <v>4362</v>
      </c>
      <c r="BE9" s="229" t="str">
        <f>IF(ISNUMBER(Datos!BW9),Datos!BW9," - ")</f>
        <v xml:space="preserve"> - </v>
      </c>
      <c r="BF9" s="228" t="str">
        <f>IF(ISNUMBER(Datos!BX9),Datos!BX9," - ")</f>
        <v xml:space="preserve"> - </v>
      </c>
      <c r="BG9" s="243">
        <f>IF(ISNUMBER(IF(J_V="SI",Datos!K9/Datos!J9,(Datos!K9+Datos!AA9)/(Datos!J9+Datos!Z9))),IF(J_V="SI",Datos!K9/Datos!J9,(Datos!K9+Datos!AA9)/(Datos!J9+Datos!Z9))," - ")</f>
        <v>0.84149962880475127</v>
      </c>
      <c r="BH9" s="260">
        <f>IF(ISNUMBER(((IF(J_V="SI",Datos!L9/Datos!K9,(Datos!L9+Datos!AB9)/(Datos!K9+Datos!AA9)))*11)/factor_trimestre),((IF(J_V="SI",Datos!L9/Datos!K9,(Datos!L9+Datos!AB9)/(Datos!K9+Datos!AA9)))*11)/factor_trimestre," - ")</f>
        <v>12.195588883987648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5.0883256528417818E-3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103</v>
      </c>
      <c r="G10" s="333">
        <f>IF(ISNUMBER(Datos!I10),Datos!I10," - ")</f>
        <v>80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163</v>
      </c>
      <c r="AC10" s="226">
        <f>IF(ISNUMBER(Datos!Q10),Datos!Q10," - ")</f>
        <v>129</v>
      </c>
      <c r="AD10" s="334"/>
      <c r="AE10" s="484"/>
      <c r="AF10" s="332">
        <f>IF(ISNUMBER(Datos!L10),Datos!L10,"-")</f>
        <v>98</v>
      </c>
      <c r="AG10" s="334"/>
      <c r="AH10" s="334"/>
      <c r="AI10" s="334"/>
      <c r="AJ10" s="334"/>
      <c r="AK10" s="334"/>
      <c r="AL10" s="479"/>
      <c r="AM10" s="335">
        <f>IF(ISNUMBER(Datos!R10),Datos!R10," - ")</f>
        <v>49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48</v>
      </c>
      <c r="BD10" s="229">
        <f>IF(ISNUMBER(Datos!N10),Datos!N10," - ")</f>
        <v>57</v>
      </c>
      <c r="BE10" s="229" t="str">
        <f>IF(ISNUMBER(Datos!BW10),Datos!BW10," - ")</f>
        <v xml:space="preserve"> - </v>
      </c>
      <c r="BF10" s="228" t="str">
        <f>IF(ISNUMBER(Datos!BX10),Datos!BX10," - ")</f>
        <v xml:space="preserve"> - </v>
      </c>
      <c r="BG10" s="243">
        <f>IF(ISNUMBER(Datos!K10/Datos!J10),Datos!K10/Datos!J10," - ")</f>
        <v>1.0316455696202531</v>
      </c>
      <c r="BH10" s="260">
        <f>IF(ISNUMBER(((Datos!L10/Datos!K10)*11)/factor_trimestre),((Datos!L10/Datos!K10)*11)/factor_trimestre," - ")</f>
        <v>6.6134969325153374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-0.64748201438848918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103</v>
      </c>
      <c r="G13" s="898">
        <f t="shared" si="0"/>
        <v>80</v>
      </c>
      <c r="H13" s="899">
        <f t="shared" si="0"/>
        <v>0</v>
      </c>
      <c r="I13" s="898">
        <f t="shared" si="0"/>
        <v>0</v>
      </c>
      <c r="J13" s="867">
        <f t="shared" si="0"/>
        <v>0</v>
      </c>
      <c r="K13" s="867">
        <f t="shared" si="0"/>
        <v>0</v>
      </c>
      <c r="L13" s="899">
        <f t="shared" si="0"/>
        <v>0</v>
      </c>
      <c r="M13" s="899">
        <f t="shared" si="0"/>
        <v>0</v>
      </c>
      <c r="N13" s="899">
        <f t="shared" si="0"/>
        <v>580</v>
      </c>
      <c r="O13" s="900">
        <f t="shared" si="0"/>
        <v>0</v>
      </c>
      <c r="P13" s="900">
        <f t="shared" si="0"/>
        <v>0</v>
      </c>
      <c r="Q13" s="899">
        <f t="shared" si="0"/>
        <v>2867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163</v>
      </c>
      <c r="AC13" s="899">
        <f t="shared" si="1"/>
        <v>2904</v>
      </c>
      <c r="AD13" s="899">
        <f t="shared" si="1"/>
        <v>0</v>
      </c>
      <c r="AE13" s="899">
        <f t="shared" si="1"/>
        <v>0</v>
      </c>
      <c r="AF13" s="899">
        <f t="shared" si="1"/>
        <v>98</v>
      </c>
      <c r="AG13" s="899">
        <f t="shared" si="1"/>
        <v>0</v>
      </c>
      <c r="AH13" s="899">
        <f t="shared" si="1"/>
        <v>289</v>
      </c>
      <c r="AI13" s="899">
        <f t="shared" si="1"/>
        <v>0</v>
      </c>
      <c r="AJ13" s="899">
        <f t="shared" si="1"/>
        <v>0</v>
      </c>
      <c r="AK13" s="899">
        <f t="shared" si="1"/>
        <v>0</v>
      </c>
      <c r="AL13" s="899">
        <f t="shared" si="1"/>
        <v>0</v>
      </c>
      <c r="AM13" s="899">
        <f t="shared" si="1"/>
        <v>10518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2562</v>
      </c>
      <c r="BD13" s="899">
        <f t="shared" si="1"/>
        <v>4419</v>
      </c>
      <c r="BE13" s="899">
        <f t="shared" si="1"/>
        <v>0</v>
      </c>
      <c r="BF13" s="899">
        <f t="shared" si="1"/>
        <v>0</v>
      </c>
      <c r="BG13" s="899">
        <f>IF(ISNUMBER(Datos!K13/Datos!J13),Datos!K13/Datos!J13," - ")</f>
        <v>0.83821275291232378</v>
      </c>
      <c r="BH13" s="903">
        <f>IF(ISNUMBER(((Datos!L13/Datos!K13)*11)/factor_trimestre),((Datos!L13/Datos!K13)*11)/factor_trimestre," - ")</f>
        <v>12.447289018926579</v>
      </c>
      <c r="BI13" s="899">
        <f>IF(ISNUMBER('Resol  Asuntos'!D13/NºAsuntos!G13),'Resol  Asuntos'!D13/NºAsuntos!G13," - ")</f>
        <v>0.22282136023656288</v>
      </c>
      <c r="BJ13" s="899" t="str">
        <f>IF(ISNUMBER(Datos!CI13/Datos!CJ13),Datos!CI13/Datos!CJ13," - ")</f>
        <v xml:space="preserve"> - </v>
      </c>
      <c r="BK13" s="899">
        <f>SUBTOTAL(9,BK8:BK12)</f>
        <v>0</v>
      </c>
      <c r="BL13" s="899">
        <f>IF(ISNUMBER((I13-AB13+L13)/(F13)),(I13-AB13+L13)/(F13)," - ")</f>
        <v>-1.5825242718446602</v>
      </c>
      <c r="BM13" s="904">
        <f>SUBTOTAL(9,BM9:BM12)</f>
        <v>-0.64239368873564739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3986</v>
      </c>
      <c r="G15" s="598">
        <f>IF(ISNUMBER(IF(D_I="SI",Datos!I15,Datos!I15+Datos!AC15)),IF(D_I="SI",Datos!I15,Datos!I15+Datos!AC15)," - ")</f>
        <v>3837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397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17779</v>
      </c>
      <c r="AC15" s="226">
        <f>IF(ISNUMBER(Datos!Q15),Datos!Q15," - ")</f>
        <v>390</v>
      </c>
      <c r="AD15" s="334"/>
      <c r="AE15" s="484"/>
      <c r="AF15" s="596">
        <f>IF(ISNUMBER(IF(D_I="SI",Datos!L15,Datos!L15+Datos!AF15)),IF(D_I="SI",Datos!L15,Datos!L15+Datos!AF15)," - ")</f>
        <v>4034</v>
      </c>
      <c r="AG15" s="334"/>
      <c r="AH15" s="334"/>
      <c r="AI15" s="334"/>
      <c r="AJ15" s="334"/>
      <c r="AK15" s="334"/>
      <c r="AL15" s="479"/>
      <c r="AM15" s="335">
        <f>IF(ISNUMBER(Datos!R15),Datos!R15," - ")</f>
        <v>348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1592</v>
      </c>
      <c r="BD15" s="229">
        <f>IF(ISNUMBER(Datos!N15),Datos!N15," - ")</f>
        <v>12504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0.99730745498401296</v>
      </c>
      <c r="BH15" s="260">
        <f>IF(ISNUMBER(((IF(D_I="SI",Datos!L15/Datos!K15,(Datos!L15+Datos!AF15)/(Datos!K15+Datos!AE15)))*11)/factor_trimestre),((IF(D_I="SI",Datos!L15/Datos!K15,(Datos!L15+Datos!AF15)/(Datos!K15+Datos!AE15)))*11)/factor_trimestre," - ")</f>
        <v>2.495865909218741</v>
      </c>
      <c r="BI15" s="243">
        <f>IF(ISNUMBER('Resol  Asuntos'!D15/NºAsuntos!G15),'Resol  Asuntos'!D15/NºAsuntos!G15," - ")</f>
        <v>8.9543843860734579E-2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1659</v>
      </c>
      <c r="AC17" s="226">
        <f>IF(ISNUMBER(Datos!Q17),Datos!Q17," - ")</f>
        <v>28</v>
      </c>
      <c r="AD17" s="334"/>
      <c r="AE17" s="484"/>
      <c r="AF17" s="332">
        <f>IF(ISNUMBER(Datos!L17),Datos!L17,"-")</f>
        <v>579</v>
      </c>
      <c r="AG17" s="334"/>
      <c r="AH17" s="334"/>
      <c r="AI17" s="334"/>
      <c r="AJ17" s="334"/>
      <c r="AK17" s="334"/>
      <c r="AL17" s="479"/>
      <c r="AM17" s="335">
        <f>IF(ISNUMBER(Datos!R17),Datos!R17," - ")</f>
        <v>55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162</v>
      </c>
      <c r="BD17" s="229">
        <f>IF(ISNUMBER(Datos!N17),Datos!N17," - ")</f>
        <v>884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0.70386084005091221</v>
      </c>
      <c r="BH17" s="260">
        <f>IF(ISNUMBER(((IF(D_I="SI",Datos!L17/Datos!K17,(Datos!L17+Datos!AF17)/(Datos!K17+Datos!AE17)))*11)/factor_trimestre),((IF(D_I="SI",Datos!L17/Datos!K17,(Datos!L17+Datos!AF17)/(Datos!K17+Datos!AE17)))*11)/factor_trimestre," - ")</f>
        <v>3.8390596745027121</v>
      </c>
      <c r="BI17" s="243">
        <f>IF(ISNUMBER('Resol  Asuntos'!D17/NºAsuntos!G17),'Resol  Asuntos'!D17/NºAsuntos!G17," - ")</f>
        <v>9.7649186256781192E-2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3986</v>
      </c>
      <c r="G18" s="898">
        <f>SUBTOTAL(9,G15:G17)</f>
        <v>3988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19438</v>
      </c>
      <c r="AC18" s="899">
        <f t="shared" si="4"/>
        <v>418</v>
      </c>
      <c r="AD18" s="899">
        <f t="shared" si="4"/>
        <v>0</v>
      </c>
      <c r="AE18" s="899">
        <f t="shared" si="4"/>
        <v>0</v>
      </c>
      <c r="AF18" s="899">
        <f t="shared" si="4"/>
        <v>4613</v>
      </c>
      <c r="AG18" s="899">
        <f t="shared" si="4"/>
        <v>0</v>
      </c>
      <c r="AH18" s="899">
        <f t="shared" si="4"/>
        <v>0</v>
      </c>
      <c r="AI18" s="899">
        <f t="shared" si="4"/>
        <v>0</v>
      </c>
      <c r="AJ18" s="899">
        <f t="shared" si="4"/>
        <v>0</v>
      </c>
      <c r="AK18" s="899">
        <f t="shared" si="4"/>
        <v>0</v>
      </c>
      <c r="AL18" s="899">
        <f t="shared" si="4"/>
        <v>0</v>
      </c>
      <c r="AM18" s="899">
        <f t="shared" si="4"/>
        <v>403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1754</v>
      </c>
      <c r="BD18" s="899">
        <f t="shared" si="4"/>
        <v>13388</v>
      </c>
      <c r="BE18" s="899">
        <f t="shared" si="4"/>
        <v>0</v>
      </c>
      <c r="BF18" s="899">
        <f t="shared" si="4"/>
        <v>0</v>
      </c>
      <c r="BG18" s="899">
        <f>IF(ISNUMBER(Datos!K18/Datos!J18),Datos!K18/Datos!J18," - ")</f>
        <v>0.96304003170828378</v>
      </c>
      <c r="BH18" s="903">
        <f>IF(ISNUMBER(((Datos!L18/Datos!K18)*11)/factor_trimestre),((Datos!L18/Datos!K18)*11)/factor_trimestre," - ")</f>
        <v>2.6105051960078196</v>
      </c>
      <c r="BI18" s="899">
        <f>SUBTOTAL(9,BI15:BI17)</f>
        <v>0.18719303011751576</v>
      </c>
      <c r="BJ18" s="899">
        <f>SUBTOTAL(9,BJ15:BJ17)</f>
        <v>0</v>
      </c>
      <c r="BK18" s="899">
        <f>SUBTOTAL(9,BK15:BK17)</f>
        <v>0</v>
      </c>
      <c r="BL18" s="899">
        <f>IF(ISNUMBER((I18-AB18+L18)/(F18)),(I18-AB18+L18)/(F18)," - ")</f>
        <v>-4.8765679879578521</v>
      </c>
      <c r="BM18" s="905">
        <f>IF(ISNUMBER((Datos!P18-Datos!Q18)/(Datos!R18-Datos!P18+Datos!Q18)),(Datos!P18-Datos!Q18)/(Datos!R18-Datos!P18+Datos!Q18)," - ")</f>
        <v>0.17151162790697674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15</v>
      </c>
      <c r="F19" s="820">
        <f t="shared" si="6"/>
        <v>4089</v>
      </c>
      <c r="G19" s="820">
        <f t="shared" si="6"/>
        <v>4068</v>
      </c>
      <c r="H19" s="822">
        <f t="shared" si="6"/>
        <v>0</v>
      </c>
      <c r="I19" s="820">
        <f t="shared" si="6"/>
        <v>0</v>
      </c>
      <c r="J19" s="822">
        <f t="shared" si="6"/>
        <v>0</v>
      </c>
      <c r="K19" s="822">
        <f t="shared" si="6"/>
        <v>0</v>
      </c>
      <c r="L19" s="881">
        <f t="shared" si="6"/>
        <v>0</v>
      </c>
      <c r="M19" s="881">
        <f t="shared" si="6"/>
        <v>0</v>
      </c>
      <c r="N19" s="881">
        <f t="shared" si="6"/>
        <v>580</v>
      </c>
      <c r="O19" s="881">
        <f t="shared" si="6"/>
        <v>0</v>
      </c>
      <c r="P19" s="881">
        <f t="shared" si="6"/>
        <v>0</v>
      </c>
      <c r="Q19" s="822">
        <f t="shared" si="6"/>
        <v>3344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19601</v>
      </c>
      <c r="AC19" s="821">
        <f t="shared" si="7"/>
        <v>3322</v>
      </c>
      <c r="AD19" s="821">
        <f t="shared" si="7"/>
        <v>0</v>
      </c>
      <c r="AE19" s="821">
        <f t="shared" si="7"/>
        <v>0</v>
      </c>
      <c r="AF19" s="828">
        <f t="shared" si="7"/>
        <v>4711</v>
      </c>
      <c r="AG19" s="828">
        <f t="shared" si="7"/>
        <v>0</v>
      </c>
      <c r="AH19" s="828">
        <f t="shared" si="7"/>
        <v>289</v>
      </c>
      <c r="AI19" s="828">
        <f t="shared" si="7"/>
        <v>0</v>
      </c>
      <c r="AJ19" s="821">
        <f t="shared" si="7"/>
        <v>0</v>
      </c>
      <c r="AK19" s="828">
        <f t="shared" si="7"/>
        <v>0</v>
      </c>
      <c r="AL19" s="828">
        <f t="shared" si="7"/>
        <v>0</v>
      </c>
      <c r="AM19" s="828">
        <f t="shared" si="7"/>
        <v>10921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4316</v>
      </c>
      <c r="BD19" s="820">
        <f t="shared" si="7"/>
        <v>17807</v>
      </c>
      <c r="BE19" s="820">
        <f t="shared" si="7"/>
        <v>0</v>
      </c>
      <c r="BF19" s="830">
        <f t="shared" si="7"/>
        <v>0</v>
      </c>
      <c r="BG19" s="915">
        <f>IF(ISNUMBER(Datos!K19/Datos!J19),Datos!K19/Datos!J19," - ")</f>
        <v>0.91402864708714493</v>
      </c>
      <c r="BH19" s="915">
        <f>IF(ISNUMBER(((Datos!L19/Datos!K19)*11)/factor_trimestre),((Datos!L19/Datos!K19)*11)/factor_trimestre," - ")</f>
        <v>6.1523950617283951</v>
      </c>
      <c r="BI19" s="813">
        <f>IF(ISNUMBER(Datos!J19/Datos!I19),Datos!J19/Datos!I19," - ")</f>
        <v>2.3420959898512934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-4.7935925654194182</v>
      </c>
      <c r="BM19" s="889">
        <f>IF(ISNUMBER((Datos!P19-Datos!Q19+R19)/(Datos!R19-Datos!P19+Datos!Q19-R19)),(Datos!P19-Datos!Q19+R19)/(Datos!R19-Datos!P19+Datos!Q19-R19)," - ")</f>
        <v>2.018533810441325E-3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3.6742346141747673</v>
      </c>
      <c r="F21" s="551">
        <f>IF(ISNUMBER(STDEV(F8:F18)),STDEV(F8:F18),"-")</f>
        <v>2241.8510952633169</v>
      </c>
      <c r="G21" s="552">
        <f>IF(ISNUMBER(STDEV(G8:G18)),STDEV(G8:G18),"-")</f>
        <v>2087.0682068394412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9866.2903768336346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1104.9884463951046</v>
      </c>
      <c r="BD21" s="551"/>
      <c r="BE21" s="551">
        <f>IF(ISNUMBER(STDEV(BE8:BE18)),STDEV(BE8:BE18),"-")</f>
        <v>0</v>
      </c>
      <c r="BF21" s="556">
        <f>IF(ISNUMBER(STDEV(BF8:BF18)),STDEV(BF8:BF18),"-")</f>
        <v>0</v>
      </c>
      <c r="BG21" s="775">
        <f>IF(ISNUMBER(STDEV(BG8:BG18)),STDEV(BG8:BG18),"-")</f>
        <v>0.12359965102238077</v>
      </c>
      <c r="BH21" s="776">
        <f>IF(ISNUMBER(STDEV(BH8:BH18)),STDEV(BH8:BH18),"-")</f>
        <v>4.6005217364424498</v>
      </c>
      <c r="BI21" s="249">
        <f>IF(ISNUMBER(STDEV(BI8:BI18)),STDEV(BI8:BI18),"-")</f>
        <v>6.6029985323923068E-2</v>
      </c>
      <c r="BJ21" s="230" t="str">
        <f>IF(ISNUMBER(BL21/BM21),BL21/BM21," - ")</f>
        <v xml:space="preserve"> - </v>
      </c>
      <c r="BK21" s="575"/>
      <c r="BL21" s="559">
        <f>IF(ISNUMBER(STDEV(BL8:BL18)),STDEV(BL8:BL18),"-")</f>
        <v>2.3292406491885727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rBbRwRTEVHxXPo3rfDrkuuS5yN2dvQqVoMk4vAC8aTHaID0ZaaOIxbKLHkcz8evMHLB3uWEJjNhkD+oUE9Qw==" saltValue="fOvMP+mFopmO3prePT1K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MARBELLA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2828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2775</v>
      </c>
      <c r="AA9" s="332" t="str">
        <f>IF(ISNUMBER(IF(J_V="SI",Datos!L9,Datos!L9+Datos!AB9)-IF(Monitorios="SI",Datos!CD9,0)),
                          IF(J_V="SI",Datos!L9,Datos!L9+Datos!AB9)-IF(Monitorios="SI",Datos!CD9,0),
                          " - ")</f>
        <v xml:space="preserve"> - </v>
      </c>
      <c r="AB9" s="334"/>
      <c r="AC9" s="334"/>
      <c r="AD9" s="484"/>
      <c r="AE9" s="484">
        <f>IF(ISNUMBER(Datos!R9),Datos!R9," - ")</f>
        <v>10469</v>
      </c>
      <c r="AF9" s="229" t="str">
        <f>IF(ISNUMBER(Datos!BV9),Datos!BV9," - ")</f>
        <v xml:space="preserve"> - </v>
      </c>
      <c r="AG9" s="225" t="str">
        <f>IF(ISNUMBER(Datos!DV9),Datos!DV9," - ")</f>
        <v xml:space="preserve"> - </v>
      </c>
      <c r="AH9" s="298"/>
      <c r="AI9" s="227"/>
      <c r="AJ9" s="225">
        <f>IF(ISNUMBER(Datos!M9),Datos!M9," - ")</f>
        <v>2514</v>
      </c>
      <c r="AK9" s="229">
        <f>IF(ISNUMBER(Datos!N9),Datos!N9," - ")</f>
        <v>4362</v>
      </c>
      <c r="AL9" s="229" t="str">
        <f>IF(ISNUMBER(Datos!BW9),Datos!BW9," - ")</f>
        <v xml:space="preserve"> - </v>
      </c>
      <c r="AM9" s="228" t="str">
        <f>IF(ISNUMBER(Datos!BX9),Datos!BX9," - ")</f>
        <v xml:space="preserve"> - </v>
      </c>
      <c r="AN9" s="243"/>
      <c r="AO9" s="260">
        <f>IF(ISNUMBER(((NºAsuntos!I9/NºAsuntos!G9)*11)/factor_trimestre),((NºAsuntos!I9/NºAsuntos!G9)*11)/factor_trimestre," - ")</f>
        <v>12.195588883987648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5.0883256528417818E-3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103</v>
      </c>
      <c r="G10" s="225">
        <f>IF(ISNUMBER(Datos!I10),Datos!I10," - ")</f>
        <v>80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163</v>
      </c>
      <c r="Z10" s="619">
        <f>IF(ISNUMBER(Datos!Q10),Datos!Q10," - ")</f>
        <v>129</v>
      </c>
      <c r="AA10" s="332">
        <f>IF(ISNUMBER(Datos!L10),Datos!L10,"-")</f>
        <v>98</v>
      </c>
      <c r="AB10" s="334"/>
      <c r="AC10" s="334"/>
      <c r="AD10" s="484"/>
      <c r="AE10" s="484">
        <f>IF(ISNUMBER(Datos!R10),Datos!R10," - ")</f>
        <v>49</v>
      </c>
      <c r="AF10" s="229" t="str">
        <f>IF(ISNUMBER(Datos!BV10),Datos!BV10," - ")</f>
        <v xml:space="preserve"> - </v>
      </c>
      <c r="AG10" s="225" t="str">
        <f>IF(ISNUMBER(Datos!DV10),Datos!DV10," - ")</f>
        <v xml:space="preserve"> - </v>
      </c>
      <c r="AH10" s="298"/>
      <c r="AI10" s="227"/>
      <c r="AJ10" s="225">
        <f>IF(ISNUMBER(Datos!M10),Datos!M10," - ")</f>
        <v>48</v>
      </c>
      <c r="AK10" s="229">
        <f>IF(ISNUMBER(Datos!N10),Datos!N10," - ")</f>
        <v>57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6.6134969325153374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-0.64748201438848918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103</v>
      </c>
      <c r="G13" s="898">
        <f>SUBTOTAL(9,G8:G12)</f>
        <v>80</v>
      </c>
      <c r="H13" s="908"/>
      <c r="I13" s="898">
        <f t="shared" ref="I13:N13" si="0">SUBTOTAL(9,I8:I12)</f>
        <v>0</v>
      </c>
      <c r="J13" s="867">
        <f t="shared" si="0"/>
        <v>0</v>
      </c>
      <c r="K13" s="908">
        <f t="shared" si="0"/>
        <v>0</v>
      </c>
      <c r="L13" s="908">
        <f t="shared" si="0"/>
        <v>0</v>
      </c>
      <c r="M13" s="908">
        <f t="shared" si="0"/>
        <v>0</v>
      </c>
      <c r="N13" s="908">
        <f t="shared" si="0"/>
        <v>2867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163</v>
      </c>
      <c r="Z13" s="907">
        <f t="shared" si="2"/>
        <v>2904</v>
      </c>
      <c r="AA13" s="900">
        <f t="shared" si="2"/>
        <v>98</v>
      </c>
      <c r="AB13" s="900">
        <f t="shared" si="2"/>
        <v>0</v>
      </c>
      <c r="AC13" s="900">
        <f t="shared" si="2"/>
        <v>0</v>
      </c>
      <c r="AD13" s="900">
        <f t="shared" si="2"/>
        <v>0</v>
      </c>
      <c r="AE13" s="900">
        <f t="shared" si="2"/>
        <v>10518</v>
      </c>
      <c r="AF13" s="908">
        <f t="shared" si="2"/>
        <v>0</v>
      </c>
      <c r="AG13" s="908">
        <f t="shared" si="2"/>
        <v>0</v>
      </c>
      <c r="AH13" s="908">
        <f t="shared" si="2"/>
        <v>0</v>
      </c>
      <c r="AI13" s="908">
        <f t="shared" si="2"/>
        <v>0</v>
      </c>
      <c r="AJ13" s="908">
        <f t="shared" si="2"/>
        <v>2562</v>
      </c>
      <c r="AK13" s="908">
        <f t="shared" si="2"/>
        <v>4419</v>
      </c>
      <c r="AL13" s="908">
        <f t="shared" si="2"/>
        <v>0</v>
      </c>
      <c r="AM13" s="908">
        <f t="shared" si="2"/>
        <v>0</v>
      </c>
      <c r="AN13" s="908">
        <f t="shared" si="2"/>
        <v>0</v>
      </c>
      <c r="AO13" s="904">
        <f>IF(ISNUMBER(((NºAsuntos!I13/NºAsuntos!G13)*11)/factor_trimestre),((NºAsuntos!I13/NºAsuntos!G13)*11)/factor_trimestre," - ")</f>
        <v>12.116455035658376</v>
      </c>
      <c r="AP13" s="910" t="str">
        <f>IF(ISNUMBER(Datos!CI13/Datos!CJ13),Datos!CI13/Datos!CJ13," - ")</f>
        <v xml:space="preserve"> - </v>
      </c>
      <c r="AQ13" s="928">
        <f t="shared" ref="AQ13:AV13" si="3">SUBTOTAL(9,AQ9:AQ12)</f>
        <v>0</v>
      </c>
      <c r="AR13" s="928">
        <f t="shared" si="3"/>
        <v>-0.64239368873564739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3986</v>
      </c>
      <c r="G15" s="225">
        <f>IF(ISNUMBER(IF(D_I="SI",Datos!I15,Datos!I15+Datos!AC15)),IF(D_I="SI",Datos!I15,Datos!I15+Datos!AC15)," - ")</f>
        <v>3837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397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17779</v>
      </c>
      <c r="Z15" s="619">
        <f>IF(ISNUMBER(Datos!Q15),Datos!Q15," - ")</f>
        <v>390</v>
      </c>
      <c r="AA15" s="332">
        <f>IF(ISNUMBER(IF(D_I="SI",Datos!L15,Datos!L15+Datos!AF15)),IF(D_I="SI",Datos!L15,Datos!L15+Datos!AF15)," - ")</f>
        <v>4034</v>
      </c>
      <c r="AB15" s="334"/>
      <c r="AC15" s="334"/>
      <c r="AD15" s="484"/>
      <c r="AE15" s="484">
        <f>IF(ISNUMBER(Datos!R15),Datos!R15," - ")</f>
        <v>348</v>
      </c>
      <c r="AF15" s="229" t="str">
        <f>IF(ISNUMBER(Datos!BV15),Datos!BV15," - ")</f>
        <v xml:space="preserve"> - </v>
      </c>
      <c r="AG15" s="225"/>
      <c r="AH15" s="298"/>
      <c r="AI15" s="227"/>
      <c r="AJ15" s="225">
        <f>IF(ISNUMBER(Datos!M15),Datos!M15," - ")</f>
        <v>1592</v>
      </c>
      <c r="AK15" s="229">
        <f>IF(ISNUMBER(Datos!N15),Datos!N15," - ")</f>
        <v>12504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2.495865909218741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1659</v>
      </c>
      <c r="Z17" s="619">
        <f>IF(ISNUMBER(Datos!Q17),Datos!Q17," - ")</f>
        <v>28</v>
      </c>
      <c r="AA17" s="332">
        <f>IF(ISNUMBER(Datos!L17),Datos!L17,"-")</f>
        <v>579</v>
      </c>
      <c r="AB17" s="334"/>
      <c r="AC17" s="334"/>
      <c r="AD17" s="484"/>
      <c r="AE17" s="484">
        <f>IF(ISNUMBER(Datos!R17),Datos!R17," - ")</f>
        <v>55</v>
      </c>
      <c r="AF17" s="229" t="str">
        <f>IF(ISNUMBER(Datos!BV17),Datos!BV17," - ")</f>
        <v xml:space="preserve"> - </v>
      </c>
      <c r="AG17" s="225" t="str">
        <f>IF(ISNUMBER(Datos!DV17),Datos!DV17," - ")</f>
        <v xml:space="preserve"> - </v>
      </c>
      <c r="AH17" s="298"/>
      <c r="AI17" s="227"/>
      <c r="AJ17" s="225">
        <f>IF(ISNUMBER(Datos!M17),Datos!M17," - ")</f>
        <v>162</v>
      </c>
      <c r="AK17" s="229">
        <f>IF(ISNUMBER(Datos!N17),Datos!N17," - ")</f>
        <v>884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3.8390596745027121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3986</v>
      </c>
      <c r="G18" s="898">
        <f>SUBTOTAL(9,G15:G17)</f>
        <v>3988</v>
      </c>
      <c r="H18" s="932">
        <f>SUBTOTAL(9,H15:H17)</f>
        <v>0</v>
      </c>
      <c r="I18" s="911">
        <f>SUBTOTAL(9,I15:I17)</f>
        <v>0</v>
      </c>
      <c r="J18" s="867">
        <f>SUBTOTAL(9,J14:J17)</f>
        <v>0</v>
      </c>
      <c r="K18" s="932">
        <f t="shared" ref="K18:S18" si="4">SUBTOTAL(9,K15:K17)</f>
        <v>0</v>
      </c>
      <c r="L18" s="932">
        <f t="shared" si="4"/>
        <v>0</v>
      </c>
      <c r="M18" s="932">
        <f t="shared" si="4"/>
        <v>0</v>
      </c>
      <c r="N18" s="932">
        <f t="shared" si="4"/>
        <v>477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19438</v>
      </c>
      <c r="Z18" s="932">
        <f t="shared" si="5"/>
        <v>418</v>
      </c>
      <c r="AA18" s="932">
        <f t="shared" si="5"/>
        <v>4613</v>
      </c>
      <c r="AB18" s="932">
        <f t="shared" si="5"/>
        <v>0</v>
      </c>
      <c r="AC18" s="932">
        <f t="shared" si="5"/>
        <v>0</v>
      </c>
      <c r="AD18" s="932">
        <f t="shared" si="5"/>
        <v>0</v>
      </c>
      <c r="AE18" s="932">
        <f t="shared" si="5"/>
        <v>403</v>
      </c>
      <c r="AF18" s="932">
        <f t="shared" si="5"/>
        <v>0</v>
      </c>
      <c r="AG18" s="932">
        <f t="shared" si="5"/>
        <v>0</v>
      </c>
      <c r="AH18" s="932">
        <f t="shared" si="5"/>
        <v>0</v>
      </c>
      <c r="AI18" s="932">
        <f t="shared" si="5"/>
        <v>0</v>
      </c>
      <c r="AJ18" s="932">
        <f t="shared" si="5"/>
        <v>1754</v>
      </c>
      <c r="AK18" s="932">
        <f t="shared" si="5"/>
        <v>13388</v>
      </c>
      <c r="AL18" s="932">
        <f t="shared" si="5"/>
        <v>0</v>
      </c>
      <c r="AM18" s="932">
        <f t="shared" si="5"/>
        <v>0</v>
      </c>
      <c r="AN18" s="932">
        <f t="shared" si="5"/>
        <v>0</v>
      </c>
      <c r="AO18" s="934">
        <f>IF(ISNUMBER(((NºAsuntos!I18/NºAsuntos!G18)*11)/factor_trimestre),((NºAsuntos!I18/NºAsuntos!G18)*11)/factor_trimestre," - ")</f>
        <v>2.6105051960078196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4089</v>
      </c>
      <c r="G19" s="820">
        <f t="shared" si="7"/>
        <v>4068</v>
      </c>
      <c r="H19" s="821">
        <f t="shared" si="7"/>
        <v>0</v>
      </c>
      <c r="I19" s="820">
        <f t="shared" si="7"/>
        <v>0</v>
      </c>
      <c r="J19" s="822">
        <f t="shared" si="7"/>
        <v>0</v>
      </c>
      <c r="K19" s="820">
        <f t="shared" si="7"/>
        <v>0</v>
      </c>
      <c r="L19" s="823">
        <f t="shared" si="7"/>
        <v>0</v>
      </c>
      <c r="M19" s="820">
        <f t="shared" si="7"/>
        <v>0</v>
      </c>
      <c r="N19" s="821">
        <f t="shared" si="7"/>
        <v>3344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19601</v>
      </c>
      <c r="Z19" s="827">
        <f t="shared" si="8"/>
        <v>3322</v>
      </c>
      <c r="AA19" s="828">
        <f t="shared" si="8"/>
        <v>4711</v>
      </c>
      <c r="AB19" s="828">
        <f t="shared" si="8"/>
        <v>0</v>
      </c>
      <c r="AC19" s="828">
        <f t="shared" si="8"/>
        <v>0</v>
      </c>
      <c r="AD19" s="829">
        <f t="shared" si="8"/>
        <v>0</v>
      </c>
      <c r="AE19" s="829">
        <f t="shared" si="8"/>
        <v>10921</v>
      </c>
      <c r="AF19" s="830">
        <f t="shared" si="8"/>
        <v>0</v>
      </c>
      <c r="AG19" s="831">
        <f t="shared" si="8"/>
        <v>0</v>
      </c>
      <c r="AH19" s="832">
        <f t="shared" si="8"/>
        <v>0</v>
      </c>
      <c r="AI19" s="830">
        <f t="shared" si="8"/>
        <v>0</v>
      </c>
      <c r="AJ19" s="820">
        <f t="shared" si="8"/>
        <v>4316</v>
      </c>
      <c r="AK19" s="820">
        <f t="shared" si="8"/>
        <v>17807</v>
      </c>
      <c r="AL19" s="820">
        <f t="shared" si="8"/>
        <v>0</v>
      </c>
      <c r="AM19" s="833">
        <f t="shared" si="8"/>
        <v>0</v>
      </c>
      <c r="AN19" s="823">
        <f>IF(ISNUMBER(Datos!K19/Datos!J19),Datos!K19/Datos!J19," - ")</f>
        <v>0.91402864708714493</v>
      </c>
      <c r="AO19" s="823">
        <f>IF(ISNUMBER(FIND("06",Criterios!A8,1)),(IF(ISNUMBER(((Datos!R19/Datos!Q19)*11)/factor_trimestre),((Datos!R19/Datos!Q19)*11)/factor_trimestre," - ")),(IF(ISNUMBER(((Datos!L19/Datos!K19)*11)/factor_trimestre),((Datos!L19/Datos!K19)*11)/factor_trimestre," - ")))</f>
        <v>6.1523950617283951</v>
      </c>
      <c r="AP19" s="834" t="str">
        <f>IF(ISNUMBER(Datos!CI19/Datos!CJ19),Datos!CI19/Datos!CJ19," - ")</f>
        <v xml:space="preserve"> - </v>
      </c>
      <c r="AQ19" s="834">
        <f>IF(OR(ISNUMBER(FIND("01",Criterios!A8,1)),ISNUMBER(FIND("02",Criterios!A8,1)),ISNUMBER(FIND("03",Criterios!A8,1)),ISNUMBER(FIND("04",Criterios!A8,1))),(J19-Y19+K19)/(F19-K19),(I19-Y19+K19)/(F19-K19))</f>
        <v>-4.7935925654194182</v>
      </c>
      <c r="AR19" s="834">
        <f>IF(ISNUMBER((Datos!P19-Datos!Q19+O19)/(Datos!R19-Datos!P19+Datos!Q19-O19)),(Datos!P19-Datos!Q19+O19)/(Datos!R19-Datos!P19+Datos!Q19-O19)," - ")</f>
        <v>2.018533810441325E-3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2241.8510952633169</v>
      </c>
      <c r="G21" s="552">
        <f>IF(ISNUMBER(STDEV(G8:G18)),STDEV(G8:G18),"-")</f>
        <v>2087.0682068394412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1104.9884463951046</v>
      </c>
      <c r="AK21" s="252"/>
      <c r="AL21" s="252">
        <f>IF(ISNUMBER(STDEV(AL8:AL18)),STDEV(AL8:AL18),"-")</f>
        <v>0</v>
      </c>
      <c r="AM21" s="254">
        <f>IF(ISNUMBER(STDEV(AM8:AM18)),STDEV(AM8:AM18),"-")</f>
        <v>0</v>
      </c>
      <c r="AN21" s="539">
        <f>IF(ISNUMBER(STDEV(AN8:AN18)),STDEV(AN8:AN18),"-")</f>
        <v>0</v>
      </c>
      <c r="AO21" s="540">
        <f>IF(ISNUMBER(STDEV(AO8:AO18)),STDEV(AO8:AO18),"-")</f>
        <v>4.519128513091208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aD/OQ3rTGTaYAcZc9ofND+xLK98SHm/ZB32z5uzqS/3doB7zVQ3S/up4psLGt/9F5p1Nl3xKQuPA0Ee7JxsFQ==" saltValue="qM7qakXhExsujwqY+nAY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BZ95oc5MNhFhF1/cQCo2mREiUP2YjhTsV2xLFkq9cfk9z7A1Cav0oGHILNVYOQME9Pow7O+SEuh2o5lnMv3w==" saltValue="Kpmv6r1yZL5DyC5q25Ed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74YFCa2x1T/mJuMlq1iU3P1y8ZJiy76R1lnuAf3zPMvwILg/JH1Zccyo/4bxtMDfzejIyKWfPHbLRLrNVSZjw==" saltValue="pMunVOLb/Tq94cHl8Kxm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MARBELLA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0.22282136023656288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0.15755849481648415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HX6dZrWXjZb/yxDRITcg3xyA2ukY56pfXcu6O7+Jrvqq/YIV+EI0uloBQ6fcfPEadJxJYVtSRfSwrd0IjGxZQ==" saltValue="F00YcEtfh4s9vYYcLca0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IAMGVcHsTYKwgKW+1kYNnxWEfwGZwk9X0X/P52aj7xf+x7Wg//N3ZqauEs8GkRf65S8Jb5FCsvMdHIbp1tyuA==" saltValue="6GckglWOKlAOJp6WJJC8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MARBELLA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103</v>
      </c>
      <c r="G10" s="684">
        <f>IF(ISNUMBER(Datos!I10),Datos!I10," - ")</f>
        <v>80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163</v>
      </c>
      <c r="AC10" s="683" t="str">
        <f>IF(ISNUMBER(IF(D_I="SI",DatosP!K17,DatosP!K17+DatosP!AE17)),IF(D_I="SI",DatosP!K17,DatosP!K17+DatosP!AE17)," - ")</f>
        <v xml:space="preserve"> - </v>
      </c>
      <c r="AD10" s="685"/>
      <c r="AE10" s="685"/>
      <c r="AF10" s="688">
        <f>IF(ISNUMBER(Datos!L10),Datos!L10,"-")</f>
        <v>98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48</v>
      </c>
      <c r="AM10" s="690">
        <f>IF(ISNUMBER(Datos!N10+DatosP!N17),Datos!N10+DatosP!N17," - ")</f>
        <v>57</v>
      </c>
      <c r="AN10" s="690">
        <f>IF(ISNUMBER(Datos!BW10+DatosP!BW17),Datos!BW10+DatosP!BW17," - ")</f>
        <v>0</v>
      </c>
      <c r="AO10" s="691">
        <f>IF(ISNUMBER(Datos!BX10+DatosP!BX17),Datos!BX10+DatosP!BX17," - ")</f>
        <v>0</v>
      </c>
      <c r="AP10" s="693">
        <f>IF(ISNUMBER(((Datos!L10/Datos!K10)*11)/factor_trimestre),((Datos!L10/Datos!K10)*11)/factor_trimestre," - ")</f>
        <v>6.6134969325153374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103</v>
      </c>
      <c r="G13" s="938">
        <f t="shared" si="0"/>
        <v>80</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163</v>
      </c>
      <c r="AC13" s="939">
        <f t="shared" si="1"/>
        <v>0</v>
      </c>
      <c r="AD13" s="939">
        <f t="shared" si="1"/>
        <v>0</v>
      </c>
      <c r="AE13" s="939">
        <f t="shared" si="1"/>
        <v>0</v>
      </c>
      <c r="AF13" s="939">
        <f t="shared" si="1"/>
        <v>98</v>
      </c>
      <c r="AG13" s="939">
        <f t="shared" si="1"/>
        <v>0</v>
      </c>
      <c r="AH13" s="939">
        <f t="shared" si="1"/>
        <v>0</v>
      </c>
      <c r="AI13" s="939">
        <f t="shared" si="1"/>
        <v>0</v>
      </c>
      <c r="AJ13" s="939">
        <f t="shared" si="1"/>
        <v>0</v>
      </c>
      <c r="AK13" s="939">
        <f t="shared" si="1"/>
        <v>0</v>
      </c>
      <c r="AL13" s="939">
        <f t="shared" si="1"/>
        <v>48</v>
      </c>
      <c r="AM13" s="939">
        <f t="shared" si="1"/>
        <v>57</v>
      </c>
      <c r="AN13" s="939">
        <f t="shared" si="1"/>
        <v>0</v>
      </c>
      <c r="AO13" s="939">
        <f t="shared" si="1"/>
        <v>0</v>
      </c>
      <c r="AP13" s="944">
        <f>IF(ISNUMBER(((Datos!L13/Datos!K13)*11)/factor_trimestre),((Datos!L13/Datos!K13)*11)/factor_trimestre," - ")</f>
        <v>12.447289018926579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-1.5825242718446602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2.6105051960078196</v>
      </c>
      <c r="AQ18" s="944">
        <f>IF(ISNUMBER(((Datos!M18/Datos!L18)*11)/factor_trimestre),((Datos!M18/Datos!L18)*11)/factor_trimestre," - ")</f>
        <v>4.1825276392802948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0.17151162790697674</v>
      </c>
      <c r="AW18" s="946">
        <f>IF(ISNUMBER((Datos!Q18-Datos!R18)/(Datos!S18-Datos!Q18+Datos!R18)),(Datos!Q18-Datos!R18)/(Datos!S18-Datos!Q18+Datos!R18)," - ")</f>
        <v>4.7468354430379748E-3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103</v>
      </c>
      <c r="G19" s="951">
        <f t="shared" si="4"/>
        <v>80</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163</v>
      </c>
      <c r="AC19" s="957">
        <f t="shared" si="5"/>
        <v>0</v>
      </c>
      <c r="AD19" s="957">
        <f t="shared" si="5"/>
        <v>0</v>
      </c>
      <c r="AE19" s="957">
        <f t="shared" si="5"/>
        <v>0</v>
      </c>
      <c r="AF19" s="958">
        <f t="shared" si="5"/>
        <v>98</v>
      </c>
      <c r="AG19" s="958">
        <f t="shared" si="5"/>
        <v>0</v>
      </c>
      <c r="AH19" s="958">
        <f t="shared" si="5"/>
        <v>0</v>
      </c>
      <c r="AI19" s="958">
        <f t="shared" si="5"/>
        <v>0</v>
      </c>
      <c r="AJ19" s="959">
        <f t="shared" si="5"/>
        <v>0</v>
      </c>
      <c r="AK19" s="959">
        <f t="shared" si="5"/>
        <v>0</v>
      </c>
      <c r="AL19" s="951">
        <f t="shared" si="5"/>
        <v>48</v>
      </c>
      <c r="AM19" s="951">
        <f t="shared" si="5"/>
        <v>57</v>
      </c>
      <c r="AN19" s="951">
        <f t="shared" si="5"/>
        <v>0</v>
      </c>
      <c r="AO19" s="951">
        <f t="shared" si="5"/>
        <v>0</v>
      </c>
      <c r="AP19" s="951">
        <f>IF(ISNUMBER(((Datos!L19/Datos!K19)*11)/factor_trimestre),((Datos!L19/Datos!K19)*11)/factor_trimestre," - ")</f>
        <v>6.1523950617283951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-1.5825242718446602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2.018533810441325E-3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59.46707772653145</v>
      </c>
      <c r="G21" s="737">
        <f>IF(ISNUMBER(STDEV(G8:G18)),STDEV(G8:G18),"-")</f>
        <v>46.188021535170058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94.108093877908999</v>
      </c>
      <c r="AC21" s="738">
        <f>IF(ISNUMBER(STDEV(AC8:AC18)),STDEV(AC8:AC18),"-")</f>
        <v>0</v>
      </c>
      <c r="AD21" s="741"/>
      <c r="AE21" s="741"/>
      <c r="AF21" s="741"/>
      <c r="AG21" s="741"/>
      <c r="AH21" s="741"/>
      <c r="AI21" s="741"/>
      <c r="AJ21" s="742">
        <f>IF(ISNUMBER(STDEV(AJ8:AJ18)),STDEV(AJ8:AJ18),"-")</f>
        <v>0</v>
      </c>
      <c r="AK21" s="744"/>
      <c r="AL21" s="736">
        <f>IF(ISNUMBER(STDEV(AL8:AL18)),STDEV(AL8:AL18),"-")</f>
        <v>27.712812921102035</v>
      </c>
      <c r="AM21" s="736"/>
      <c r="AN21" s="736">
        <f>IF(ISNUMBER(STDEV(AN8:AN18)),STDEV(AN8:AN18),"-")</f>
        <v>0</v>
      </c>
      <c r="AO21" s="742">
        <f>IF(ISNUMBER(STDEV(AO8:AO18)),STDEV(AO8:AO18),"-")</f>
        <v>0</v>
      </c>
      <c r="AP21" s="779">
        <f>IF(ISNUMBER(STDEV(AP8:AP18)),STDEV(AP8:AP18),"-")</f>
        <v>4.9467057881796146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MxG2pnxy26j1KWETuBL6YriF8QNOrwV90xKVTNKc3gYFBgO+aP14anHXl09TLOMLG4W/YOiBo5fAPgoGpiS9w==" saltValue="6xCah/79olaU/+2oub3j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